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Users\R.Maciene\Desktop\"/>
    </mc:Choice>
  </mc:AlternateContent>
  <xr:revisionPtr revIDLastSave="0" documentId="8_{F5CC091E-CBC3-4947-898C-5EAFD464DB33}" xr6:coauthVersionLast="47" xr6:coauthVersionMax="47" xr10:uidLastSave="{00000000-0000-0000-0000-000000000000}"/>
  <bookViews>
    <workbookView xWindow="-120" yWindow="-120" windowWidth="29040" windowHeight="15840" xr2:uid="{00000000-000D-0000-FFFF-FFFF00000000}"/>
  </bookViews>
  <sheets>
    <sheet name="Planas" sheetId="2" r:id="rId1"/>
  </sheets>
  <externalReferences>
    <externalReference r:id="rId2"/>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D17" i="2"/>
  <c r="D29" i="2"/>
  <c r="D33" i="2"/>
  <c r="D38" i="2"/>
  <c r="D42" i="2"/>
  <c r="D44" i="2"/>
  <c r="D54" i="2"/>
  <c r="D63" i="2"/>
  <c r="D56" i="2" s="1"/>
  <c r="D81" i="2"/>
  <c r="D92" i="2"/>
  <c r="D95" i="2"/>
  <c r="D99" i="2"/>
  <c r="D101" i="2"/>
  <c r="D104" i="2"/>
  <c r="D110" i="2"/>
  <c r="D116" i="2"/>
  <c r="D118" i="2"/>
  <c r="D126" i="2"/>
  <c r="D124" i="2" s="1"/>
  <c r="D129" i="2"/>
  <c r="D132" i="2"/>
  <c r="D134" i="2"/>
  <c r="D138" i="2"/>
  <c r="D140" i="2"/>
  <c r="D145" i="2"/>
  <c r="D149" i="2"/>
  <c r="D153" i="2"/>
  <c r="D158" i="2"/>
  <c r="D166" i="2"/>
  <c r="D164" i="2" s="1"/>
  <c r="D172" i="2"/>
  <c r="D170" i="2" s="1"/>
  <c r="D185" i="2"/>
  <c r="D189" i="2"/>
  <c r="D193" i="2"/>
  <c r="D197" i="2"/>
  <c r="D202" i="2"/>
  <c r="D205" i="2"/>
  <c r="D208" i="2"/>
  <c r="D213" i="2"/>
  <c r="D217" i="2"/>
  <c r="D219" i="2"/>
  <c r="D222" i="2"/>
  <c r="D225" i="2"/>
  <c r="D230" i="2"/>
  <c r="D236" i="2"/>
  <c r="D239" i="2"/>
  <c r="D243" i="2"/>
  <c r="D247" i="2"/>
  <c r="D252" i="2"/>
  <c r="D256" i="2"/>
  <c r="D261" i="2"/>
  <c r="D265" i="2"/>
  <c r="D272" i="2"/>
  <c r="D276" i="2"/>
  <c r="D287" i="2"/>
  <c r="D293" i="2"/>
  <c r="D296" i="2"/>
  <c r="D303" i="2"/>
  <c r="D306" i="2"/>
  <c r="D308" i="2"/>
  <c r="D315" i="2"/>
  <c r="D321" i="2"/>
  <c r="D331" i="2"/>
  <c r="D334" i="2"/>
  <c r="D337" i="2"/>
  <c r="D345" i="2"/>
  <c r="D349" i="2"/>
  <c r="D355" i="2"/>
  <c r="D358" i="2"/>
  <c r="D363" i="2"/>
  <c r="D366" i="2"/>
  <c r="D370" i="2"/>
  <c r="D376" i="2"/>
  <c r="D383" i="2"/>
  <c r="D382" i="2" s="1"/>
  <c r="D389" i="2"/>
  <c r="D393" i="2"/>
  <c r="D399" i="2"/>
  <c r="D397" i="2" s="1"/>
  <c r="D410" i="2"/>
  <c r="D418" i="2"/>
  <c r="D423" i="2"/>
  <c r="D426" i="2"/>
  <c r="D433" i="2"/>
  <c r="D435" i="2"/>
  <c r="D437" i="2"/>
  <c r="D444" i="2"/>
  <c r="D443" i="2" s="1"/>
  <c r="D451" i="2"/>
  <c r="D458" i="2"/>
  <c r="D465" i="2"/>
  <c r="D471" i="2"/>
  <c r="D475" i="2"/>
  <c r="D489" i="2"/>
  <c r="D502" i="2"/>
  <c r="D499" i="2" s="1"/>
  <c r="D507" i="2"/>
  <c r="D505" i="2" s="1"/>
  <c r="D510" i="2"/>
  <c r="D514" i="2"/>
  <c r="D517" i="2"/>
  <c r="D526" i="2"/>
  <c r="D529" i="2"/>
  <c r="D541" i="2"/>
  <c r="D544" i="2"/>
  <c r="D551" i="2"/>
  <c r="D555" i="2"/>
  <c r="D558" i="2"/>
  <c r="D564" i="2"/>
  <c r="D566" i="2"/>
  <c r="D571" i="2"/>
  <c r="D573" i="2"/>
  <c r="D576" i="2"/>
  <c r="D580" i="2"/>
  <c r="D588" i="2"/>
  <c r="D583" i="2" s="1"/>
  <c r="D593" i="2"/>
  <c r="D603" i="2"/>
  <c r="D606" i="2"/>
  <c r="D609" i="2"/>
  <c r="D613" i="2"/>
  <c r="D617" i="2"/>
  <c r="D620" i="2"/>
  <c r="D625" i="2"/>
  <c r="D630" i="2"/>
  <c r="D636" i="2"/>
  <c r="D640" i="2"/>
  <c r="D645" i="2"/>
  <c r="D650" i="2"/>
  <c r="D653" i="2"/>
  <c r="D656" i="2"/>
  <c r="D659" i="2"/>
  <c r="D667" i="2"/>
  <c r="D671" i="2"/>
  <c r="D674" i="2"/>
  <c r="D678" i="2"/>
  <c r="D684" i="2"/>
  <c r="D693" i="2"/>
  <c r="D697" i="2"/>
  <c r="D701" i="2"/>
  <c r="D704" i="2"/>
  <c r="D706" i="2"/>
  <c r="D710" i="2"/>
  <c r="D714" i="2"/>
  <c r="D718" i="2"/>
  <c r="D724" i="2"/>
  <c r="D726" i="2"/>
  <c r="D733" i="2"/>
  <c r="D731" i="2" s="1"/>
  <c r="D738" i="2"/>
  <c r="D744" i="2"/>
  <c r="D747" i="2"/>
  <c r="D750" i="2"/>
  <c r="D753" i="2"/>
  <c r="D756" i="2"/>
  <c r="D760" i="2"/>
  <c r="D765" i="2"/>
  <c r="D768" i="2"/>
  <c r="D772" i="2"/>
  <c r="D789" i="2"/>
  <c r="D794" i="2"/>
  <c r="D797" i="2"/>
  <c r="D800" i="2"/>
  <c r="D803" i="2"/>
  <c r="D822" i="2"/>
  <c r="D832" i="2"/>
  <c r="D835" i="2"/>
  <c r="D838" i="2"/>
  <c r="D844" i="2"/>
  <c r="D846" i="2"/>
  <c r="D849" i="2"/>
  <c r="D871" i="2"/>
  <c r="D873" i="2"/>
  <c r="D879" i="2"/>
  <c r="D883" i="2"/>
  <c r="D887" i="2"/>
  <c r="D891" i="2"/>
  <c r="D893" i="2"/>
  <c r="D896" i="2"/>
  <c r="D904" i="2"/>
  <c r="D906" i="2"/>
  <c r="D908" i="2"/>
  <c r="D911" i="2"/>
  <c r="D914" i="2"/>
  <c r="D917" i="2"/>
  <c r="Q386" i="2"/>
  <c r="D283" i="2" l="1"/>
  <c r="D282" i="2" s="1"/>
  <c r="D144" i="2"/>
  <c r="D602" i="2"/>
  <c r="D540" i="2"/>
  <c r="D488" i="2" s="1"/>
  <c r="D429" i="2"/>
  <c r="D554" i="2"/>
  <c r="D553" i="2" s="1"/>
  <c r="D11" i="2"/>
  <c r="D137" i="2"/>
  <c r="D878" i="2"/>
  <c r="D876" i="2" s="1"/>
  <c r="D388" i="2"/>
  <c r="D381" i="2" s="1"/>
  <c r="D380" i="2" s="1"/>
  <c r="D329" i="2"/>
  <c r="D109" i="2"/>
  <c r="D107" i="2" s="1"/>
  <c r="D246" i="2"/>
  <c r="D123" i="2"/>
  <c r="D854" i="2"/>
  <c r="D722" i="2"/>
  <c r="D340" i="2"/>
  <c r="D336" i="2" s="1"/>
  <c r="D325" i="2" s="1"/>
  <c r="D324" i="2" s="1"/>
  <c r="D178" i="2"/>
  <c r="D177" i="2" s="1"/>
  <c r="D890" i="2"/>
  <c r="D811" i="2"/>
  <c r="D810" i="2" s="1"/>
  <c r="D32" i="2"/>
  <c r="D742" i="2"/>
  <c r="D741" i="2" s="1"/>
  <c r="D616" i="2"/>
  <c r="D409" i="2"/>
  <c r="D407" i="2" s="1"/>
  <c r="D406" i="2" s="1"/>
  <c r="D51" i="2"/>
  <c r="D80" i="2"/>
  <c r="D902" i="2"/>
  <c r="D900" i="2" s="1"/>
  <c r="D639" i="2"/>
  <c r="D457" i="2"/>
  <c r="D666" i="2"/>
  <c r="D663" i="2" s="1"/>
  <c r="D662" i="2" s="1"/>
  <c r="D314" i="2"/>
  <c r="D235" i="2"/>
  <c r="Q812" i="2"/>
  <c r="Q668" i="2"/>
  <c r="Q606" i="2"/>
  <c r="Q460" i="2"/>
  <c r="Q412" i="2"/>
  <c r="Q330" i="2"/>
  <c r="Q181" i="2"/>
  <c r="Q127" i="2"/>
  <c r="Q53" i="2"/>
  <c r="Q17" i="2"/>
  <c r="D455" i="2" l="1"/>
  <c r="D454" i="2" s="1"/>
  <c r="D176" i="2"/>
  <c r="D281" i="2"/>
  <c r="D10" i="2"/>
  <c r="D9" i="2" s="1"/>
  <c r="D601" i="2"/>
  <c r="D600" i="2" s="1"/>
  <c r="D807" i="2"/>
  <c r="D806" i="2" s="1"/>
  <c r="D122" i="2"/>
  <c r="D121" i="2" s="1"/>
  <c r="D48" i="2"/>
  <c r="D47" i="2" s="1"/>
  <c r="G913" i="2"/>
  <c r="G912" i="2"/>
  <c r="G910" i="2"/>
  <c r="G909" i="2"/>
  <c r="G905" i="2"/>
  <c r="G903" i="2"/>
  <c r="G899" i="2"/>
  <c r="G895" i="2"/>
  <c r="G894" i="2"/>
  <c r="G892" i="2"/>
  <c r="G889" i="2"/>
  <c r="G888" i="2"/>
  <c r="G886" i="2"/>
  <c r="G885" i="2"/>
  <c r="G884" i="2"/>
  <c r="G882" i="2"/>
  <c r="G881" i="2"/>
  <c r="G880" i="2"/>
  <c r="G875" i="2"/>
  <c r="G874" i="2"/>
  <c r="G870" i="2"/>
  <c r="G869" i="2"/>
  <c r="G868" i="2"/>
  <c r="G867" i="2"/>
  <c r="G866" i="2"/>
  <c r="G865" i="2"/>
  <c r="G864" i="2"/>
  <c r="G863" i="2"/>
  <c r="G862" i="2"/>
  <c r="G861" i="2"/>
  <c r="G860" i="2"/>
  <c r="G859" i="2"/>
  <c r="G858" i="2"/>
  <c r="G857" i="2"/>
  <c r="G856" i="2"/>
  <c r="G855" i="2"/>
  <c r="G853" i="2"/>
  <c r="G852" i="2"/>
  <c r="G851" i="2"/>
  <c r="G850" i="2"/>
  <c r="G848" i="2"/>
  <c r="G847" i="2"/>
  <c r="G843" i="2"/>
  <c r="G842" i="2"/>
  <c r="G841" i="2"/>
  <c r="G837" i="2"/>
  <c r="G836" i="2"/>
  <c r="G831" i="2"/>
  <c r="G830" i="2"/>
  <c r="G829" i="2"/>
  <c r="G828" i="2"/>
  <c r="G827" i="2"/>
  <c r="G826" i="2"/>
  <c r="G825" i="2"/>
  <c r="G824" i="2"/>
  <c r="G823" i="2"/>
  <c r="G805" i="2"/>
  <c r="G804" i="2"/>
  <c r="G802" i="2"/>
  <c r="G801" i="2"/>
  <c r="G799" i="2"/>
  <c r="G798" i="2"/>
  <c r="G796" i="2"/>
  <c r="G795" i="2"/>
  <c r="G793" i="2"/>
  <c r="G792" i="2"/>
  <c r="G791" i="2"/>
  <c r="G788" i="2"/>
  <c r="G787" i="2"/>
  <c r="G786" i="2"/>
  <c r="G785" i="2"/>
  <c r="G784" i="2"/>
  <c r="G783" i="2"/>
  <c r="G782" i="2"/>
  <c r="G781" i="2"/>
  <c r="G780" i="2"/>
  <c r="G779" i="2"/>
  <c r="G778" i="2"/>
  <c r="G777" i="2"/>
  <c r="G776" i="2"/>
  <c r="G775" i="2"/>
  <c r="G774" i="2"/>
  <c r="G771" i="2"/>
  <c r="G770" i="2"/>
  <c r="G767" i="2"/>
  <c r="G764" i="2"/>
  <c r="G763" i="2"/>
  <c r="G762" i="2"/>
  <c r="G761" i="2"/>
  <c r="G759" i="2"/>
  <c r="G758" i="2"/>
  <c r="G757" i="2"/>
  <c r="G755" i="2"/>
  <c r="G754" i="2"/>
  <c r="G752" i="2"/>
  <c r="G751" i="2"/>
  <c r="G749" i="2"/>
  <c r="G748" i="2"/>
  <c r="G746" i="2"/>
  <c r="G745" i="2"/>
  <c r="G740" i="2"/>
  <c r="G739" i="2"/>
  <c r="G737" i="2"/>
  <c r="G736" i="2"/>
  <c r="G735" i="2"/>
  <c r="G734" i="2"/>
  <c r="G730" i="2"/>
  <c r="G729" i="2"/>
  <c r="G728" i="2"/>
  <c r="G727" i="2"/>
  <c r="G725" i="2"/>
  <c r="G723" i="2"/>
  <c r="G716" i="2"/>
  <c r="G715" i="2"/>
  <c r="G713" i="2"/>
  <c r="G712" i="2"/>
  <c r="G711" i="2"/>
  <c r="G709" i="2"/>
  <c r="G708" i="2"/>
  <c r="G707" i="2"/>
  <c r="G703" i="2"/>
  <c r="G702" i="2"/>
  <c r="G700" i="2"/>
  <c r="G699" i="2"/>
  <c r="G698" i="2"/>
  <c r="G692" i="2"/>
  <c r="G691" i="2"/>
  <c r="G690" i="2"/>
  <c r="G689" i="2"/>
  <c r="G688" i="2"/>
  <c r="G687" i="2"/>
  <c r="G686" i="2"/>
  <c r="G685" i="2"/>
  <c r="G683" i="2"/>
  <c r="G682" i="2"/>
  <c r="G681" i="2"/>
  <c r="G680" i="2"/>
  <c r="G679" i="2"/>
  <c r="G677" i="2"/>
  <c r="G676" i="2"/>
  <c r="G675" i="2"/>
  <c r="G673" i="2"/>
  <c r="G672" i="2"/>
  <c r="G670" i="2"/>
  <c r="G669" i="2"/>
  <c r="G668" i="2"/>
  <c r="G661" i="2"/>
  <c r="G660" i="2"/>
  <c r="G658" i="2"/>
  <c r="G655" i="2"/>
  <c r="G654" i="2"/>
  <c r="G652" i="2"/>
  <c r="G651" i="2"/>
  <c r="G649" i="2"/>
  <c r="G648" i="2"/>
  <c r="G647" i="2"/>
  <c r="G646" i="2"/>
  <c r="G644" i="2"/>
  <c r="G638" i="2"/>
  <c r="G637" i="2"/>
  <c r="G632" i="2"/>
  <c r="G631" i="2"/>
  <c r="G629" i="2"/>
  <c r="G628" i="2"/>
  <c r="G627" i="2"/>
  <c r="G626" i="2"/>
  <c r="G624" i="2"/>
  <c r="G623" i="2"/>
  <c r="G622" i="2"/>
  <c r="G621" i="2"/>
  <c r="G619" i="2"/>
  <c r="G618" i="2"/>
  <c r="G615" i="2"/>
  <c r="G614" i="2"/>
  <c r="G608" i="2"/>
  <c r="G607" i="2"/>
  <c r="G605" i="2"/>
  <c r="G604" i="2"/>
  <c r="G599" i="2"/>
  <c r="G598" i="2"/>
  <c r="G597" i="2"/>
  <c r="G596" i="2"/>
  <c r="G595" i="2"/>
  <c r="G594" i="2"/>
  <c r="G592" i="2"/>
  <c r="G590" i="2"/>
  <c r="G589" i="2"/>
  <c r="G582" i="2"/>
  <c r="G581" i="2"/>
  <c r="G579" i="2"/>
  <c r="G578" i="2"/>
  <c r="G577" i="2"/>
  <c r="G575" i="2"/>
  <c r="G574" i="2"/>
  <c r="G572" i="2"/>
  <c r="G568" i="2"/>
  <c r="G567" i="2"/>
  <c r="G563" i="2"/>
  <c r="G562" i="2"/>
  <c r="G561" i="2"/>
  <c r="G560" i="2"/>
  <c r="G559" i="2"/>
  <c r="G550" i="2"/>
  <c r="G549" i="2"/>
  <c r="G548" i="2"/>
  <c r="G547" i="2"/>
  <c r="G546" i="2"/>
  <c r="G545" i="2"/>
  <c r="G543" i="2"/>
  <c r="G542" i="2"/>
  <c r="G539" i="2"/>
  <c r="G538" i="2"/>
  <c r="G537" i="2"/>
  <c r="G536" i="2"/>
  <c r="G535" i="2"/>
  <c r="G534" i="2"/>
  <c r="G533" i="2"/>
  <c r="G532" i="2"/>
  <c r="G531" i="2"/>
  <c r="G530" i="2"/>
  <c r="G528" i="2"/>
  <c r="G527" i="2"/>
  <c r="G525" i="2"/>
  <c r="G524" i="2"/>
  <c r="G523" i="2"/>
  <c r="G522" i="2"/>
  <c r="G521" i="2"/>
  <c r="G520" i="2"/>
  <c r="G519" i="2"/>
  <c r="G518" i="2"/>
  <c r="G516" i="2"/>
  <c r="G515" i="2"/>
  <c r="G513" i="2"/>
  <c r="G512" i="2"/>
  <c r="G511" i="2"/>
  <c r="G509" i="2"/>
  <c r="G508" i="2"/>
  <c r="G504" i="2"/>
  <c r="G503" i="2"/>
  <c r="G501" i="2"/>
  <c r="G497" i="2"/>
  <c r="G496" i="2"/>
  <c r="G495" i="2"/>
  <c r="G494" i="2"/>
  <c r="G493" i="2"/>
  <c r="G492" i="2"/>
  <c r="G491" i="2"/>
  <c r="G490" i="2"/>
  <c r="G487" i="2"/>
  <c r="G486" i="2"/>
  <c r="G474" i="2"/>
  <c r="G473" i="2"/>
  <c r="G472" i="2"/>
  <c r="G464" i="2"/>
  <c r="G453" i="2"/>
  <c r="G452" i="2"/>
  <c r="G450" i="2"/>
  <c r="G449" i="2"/>
  <c r="G448" i="2"/>
  <c r="G447" i="2"/>
  <c r="G446" i="2"/>
  <c r="G445" i="2"/>
  <c r="G442" i="2"/>
  <c r="G441" i="2"/>
  <c r="G440" i="2"/>
  <c r="G439" i="2"/>
  <c r="G438" i="2"/>
  <c r="G425" i="2"/>
  <c r="G424" i="2"/>
  <c r="G405" i="2"/>
  <c r="G404" i="2"/>
  <c r="G403" i="2"/>
  <c r="G402" i="2"/>
  <c r="G401" i="2"/>
  <c r="G400" i="2"/>
  <c r="G398" i="2"/>
  <c r="G396" i="2"/>
  <c r="G395" i="2"/>
  <c r="G392" i="2"/>
  <c r="G391" i="2"/>
  <c r="G387" i="2"/>
  <c r="G386" i="2"/>
  <c r="G385" i="2"/>
  <c r="G384" i="2"/>
  <c r="G379" i="2"/>
  <c r="G378" i="2"/>
  <c r="G377" i="2"/>
  <c r="G369" i="2"/>
  <c r="G368" i="2"/>
  <c r="G367" i="2"/>
  <c r="G365" i="2"/>
  <c r="G364" i="2"/>
  <c r="G362" i="2"/>
  <c r="G361" i="2"/>
  <c r="G360" i="2"/>
  <c r="G359" i="2"/>
  <c r="G357" i="2"/>
  <c r="G356" i="2"/>
  <c r="G354" i="2"/>
  <c r="G353" i="2"/>
  <c r="G352" i="2"/>
  <c r="G351" i="2"/>
  <c r="G350" i="2"/>
  <c r="G348" i="2"/>
  <c r="G347" i="2"/>
  <c r="G346" i="2"/>
  <c r="G339" i="2"/>
  <c r="G338" i="2"/>
  <c r="G330" i="2"/>
  <c r="G323" i="2"/>
  <c r="G322" i="2"/>
  <c r="G318" i="2"/>
  <c r="G317" i="2"/>
  <c r="G316" i="2"/>
  <c r="G313" i="2"/>
  <c r="G312" i="2"/>
  <c r="G311" i="2"/>
  <c r="G310" i="2"/>
  <c r="G309" i="2"/>
  <c r="G307" i="2"/>
  <c r="G305" i="2"/>
  <c r="G304" i="2"/>
  <c r="G302" i="2"/>
  <c r="G301" i="2"/>
  <c r="G300" i="2"/>
  <c r="G299" i="2"/>
  <c r="G298" i="2"/>
  <c r="G297" i="2"/>
  <c r="G295" i="2"/>
  <c r="G294" i="2"/>
  <c r="G292" i="2"/>
  <c r="G291" i="2"/>
  <c r="G290" i="2"/>
  <c r="G289" i="2"/>
  <c r="G288" i="2"/>
  <c r="G286" i="2"/>
  <c r="G278" i="2"/>
  <c r="G277" i="2"/>
  <c r="G275" i="2"/>
  <c r="G274" i="2"/>
  <c r="G273" i="2"/>
  <c r="G271" i="2"/>
  <c r="G270" i="2"/>
  <c r="G269" i="2"/>
  <c r="G268" i="2"/>
  <c r="G267" i="2"/>
  <c r="G266" i="2"/>
  <c r="G264" i="2"/>
  <c r="G263" i="2"/>
  <c r="G262" i="2"/>
  <c r="G260" i="2"/>
  <c r="G259" i="2"/>
  <c r="G258" i="2"/>
  <c r="G257" i="2"/>
  <c r="G255" i="2"/>
  <c r="G254" i="2"/>
  <c r="G253" i="2"/>
  <c r="G251" i="2"/>
  <c r="G250" i="2"/>
  <c r="G249" i="2"/>
  <c r="G248" i="2"/>
  <c r="G245" i="2"/>
  <c r="G244" i="2"/>
  <c r="G242" i="2"/>
  <c r="G241" i="2"/>
  <c r="G240" i="2"/>
  <c r="G234" i="2"/>
  <c r="G233" i="2"/>
  <c r="G232" i="2"/>
  <c r="G231" i="2"/>
  <c r="G229" i="2"/>
  <c r="G228" i="2"/>
  <c r="G227" i="2"/>
  <c r="G226" i="2"/>
  <c r="G224" i="2"/>
  <c r="G223" i="2"/>
  <c r="G221" i="2"/>
  <c r="G220" i="2"/>
  <c r="G216" i="2"/>
  <c r="G215" i="2"/>
  <c r="G214" i="2"/>
  <c r="G212" i="2"/>
  <c r="G211" i="2"/>
  <c r="G210" i="2"/>
  <c r="G209" i="2"/>
  <c r="G207" i="2"/>
  <c r="G206" i="2"/>
  <c r="G201" i="2"/>
  <c r="G200" i="2"/>
  <c r="G199" i="2"/>
  <c r="G198" i="2"/>
  <c r="G192" i="2"/>
  <c r="G191" i="2"/>
  <c r="G190" i="2"/>
  <c r="G187" i="2"/>
  <c r="G186" i="2"/>
  <c r="G184" i="2"/>
  <c r="G183" i="2"/>
  <c r="G174" i="2"/>
  <c r="G173" i="2"/>
  <c r="G171" i="2"/>
  <c r="G165" i="2"/>
  <c r="G163" i="2"/>
  <c r="G162" i="2"/>
  <c r="G161" i="2"/>
  <c r="G160" i="2"/>
  <c r="G159" i="2"/>
  <c r="G157" i="2"/>
  <c r="G156" i="2"/>
  <c r="G155" i="2"/>
  <c r="G154" i="2"/>
  <c r="G152" i="2"/>
  <c r="G151" i="2"/>
  <c r="G150" i="2"/>
  <c r="G148" i="2"/>
  <c r="G147" i="2"/>
  <c r="G146" i="2"/>
  <c r="G143" i="2"/>
  <c r="G142" i="2"/>
  <c r="G141" i="2"/>
  <c r="G135" i="2"/>
  <c r="G133" i="2"/>
  <c r="G131" i="2"/>
  <c r="G130" i="2"/>
  <c r="G128" i="2"/>
  <c r="G125" i="2"/>
  <c r="G120" i="2"/>
  <c r="G119" i="2"/>
  <c r="G115" i="2"/>
  <c r="G114" i="2"/>
  <c r="G113" i="2"/>
  <c r="G112" i="2"/>
  <c r="G111" i="2"/>
  <c r="G106" i="2"/>
  <c r="G105" i="2"/>
  <c r="G103" i="2"/>
  <c r="G102" i="2"/>
  <c r="G100" i="2"/>
  <c r="G98" i="2"/>
  <c r="G97" i="2"/>
  <c r="G96" i="2"/>
  <c r="G94" i="2"/>
  <c r="G93" i="2"/>
  <c r="G87" i="2"/>
  <c r="G86" i="2"/>
  <c r="G85" i="2"/>
  <c r="G84" i="2"/>
  <c r="G83" i="2"/>
  <c r="G82" i="2"/>
  <c r="G79" i="2"/>
  <c r="G78" i="2"/>
  <c r="G53" i="2"/>
  <c r="G52" i="2"/>
  <c r="G46" i="2"/>
  <c r="G45" i="2"/>
  <c r="G43" i="2"/>
  <c r="G41" i="2"/>
  <c r="G40" i="2"/>
  <c r="G39" i="2"/>
  <c r="G31" i="2"/>
  <c r="G30" i="2"/>
  <c r="G18" i="2"/>
  <c r="D175" i="2" l="1"/>
  <c r="E12" i="2"/>
  <c r="E17" i="2"/>
  <c r="F17" i="2"/>
  <c r="E29" i="2"/>
  <c r="F29" i="2"/>
  <c r="E33" i="2"/>
  <c r="F33" i="2"/>
  <c r="E38" i="2"/>
  <c r="F38" i="2"/>
  <c r="G42" i="2"/>
  <c r="F42" i="2"/>
  <c r="E44" i="2"/>
  <c r="F44" i="2"/>
  <c r="E54" i="2"/>
  <c r="E63" i="2"/>
  <c r="F56" i="2"/>
  <c r="E81" i="2"/>
  <c r="F81" i="2"/>
  <c r="E92" i="2"/>
  <c r="F92" i="2"/>
  <c r="E95" i="2"/>
  <c r="F95" i="2"/>
  <c r="E99" i="2"/>
  <c r="F99" i="2"/>
  <c r="E101" i="2"/>
  <c r="F101" i="2"/>
  <c r="E104" i="2"/>
  <c r="F104" i="2"/>
  <c r="E110" i="2"/>
  <c r="F110" i="2"/>
  <c r="E116" i="2"/>
  <c r="E118" i="2"/>
  <c r="E126" i="2"/>
  <c r="F124" i="2"/>
  <c r="E129" i="2"/>
  <c r="F129" i="2"/>
  <c r="G132" i="2"/>
  <c r="F132" i="2"/>
  <c r="G134" i="2"/>
  <c r="F134" i="2"/>
  <c r="E138" i="2"/>
  <c r="F138" i="2"/>
  <c r="E140" i="2"/>
  <c r="F140" i="2"/>
  <c r="E145" i="2"/>
  <c r="F145" i="2"/>
  <c r="E149" i="2"/>
  <c r="F149" i="2"/>
  <c r="E153" i="2"/>
  <c r="F153" i="2"/>
  <c r="E158" i="2"/>
  <c r="F158" i="2"/>
  <c r="E166" i="2"/>
  <c r="F166" i="2"/>
  <c r="F164" i="2" s="1"/>
  <c r="E170" i="2"/>
  <c r="F172" i="2"/>
  <c r="F170" i="2" s="1"/>
  <c r="E185" i="2"/>
  <c r="F185" i="2"/>
  <c r="E189" i="2"/>
  <c r="F189" i="2"/>
  <c r="E193" i="2"/>
  <c r="F193" i="2"/>
  <c r="E197" i="2"/>
  <c r="F197" i="2"/>
  <c r="E202" i="2"/>
  <c r="F202" i="2"/>
  <c r="E205" i="2"/>
  <c r="E208" i="2"/>
  <c r="F208" i="2"/>
  <c r="E213" i="2"/>
  <c r="F213" i="2"/>
  <c r="E217" i="2"/>
  <c r="F217" i="2"/>
  <c r="E219" i="2"/>
  <c r="F219" i="2"/>
  <c r="E222" i="2"/>
  <c r="F222" i="2"/>
  <c r="E225" i="2"/>
  <c r="E230" i="2"/>
  <c r="F230" i="2"/>
  <c r="E236" i="2"/>
  <c r="F236" i="2"/>
  <c r="E239" i="2"/>
  <c r="F239" i="2"/>
  <c r="E243" i="2"/>
  <c r="F243" i="2"/>
  <c r="E247" i="2"/>
  <c r="F247" i="2"/>
  <c r="E252" i="2"/>
  <c r="F252" i="2"/>
  <c r="E256" i="2"/>
  <c r="F256" i="2"/>
  <c r="E261" i="2"/>
  <c r="F261" i="2"/>
  <c r="E265" i="2"/>
  <c r="F265" i="2"/>
  <c r="E272" i="2"/>
  <c r="F272" i="2"/>
  <c r="E276" i="2"/>
  <c r="F276" i="2"/>
  <c r="E287" i="2"/>
  <c r="F287" i="2"/>
  <c r="E293" i="2"/>
  <c r="F293" i="2"/>
  <c r="E296" i="2"/>
  <c r="F296" i="2"/>
  <c r="E303" i="2"/>
  <c r="E306" i="2"/>
  <c r="E308" i="2"/>
  <c r="F308" i="2"/>
  <c r="E315" i="2"/>
  <c r="F315" i="2"/>
  <c r="G321" i="2"/>
  <c r="F321" i="2"/>
  <c r="E331" i="2"/>
  <c r="F331" i="2"/>
  <c r="E334" i="2"/>
  <c r="F334" i="2"/>
  <c r="E337" i="2"/>
  <c r="F337" i="2"/>
  <c r="E345" i="2"/>
  <c r="F345" i="2"/>
  <c r="E349" i="2"/>
  <c r="F349" i="2"/>
  <c r="E355" i="2"/>
  <c r="F355" i="2"/>
  <c r="E358" i="2"/>
  <c r="F358" i="2"/>
  <c r="E363" i="2"/>
  <c r="F363" i="2"/>
  <c r="E366" i="2"/>
  <c r="E370" i="2"/>
  <c r="F370" i="2"/>
  <c r="E376" i="2"/>
  <c r="F376" i="2"/>
  <c r="E383" i="2"/>
  <c r="F383" i="2"/>
  <c r="F382" i="2" s="1"/>
  <c r="E389" i="2"/>
  <c r="E393" i="2"/>
  <c r="E399" i="2"/>
  <c r="F399" i="2"/>
  <c r="F397" i="2" s="1"/>
  <c r="E410" i="2"/>
  <c r="E418" i="2"/>
  <c r="E423" i="2"/>
  <c r="F423" i="2"/>
  <c r="E426" i="2"/>
  <c r="E433" i="2"/>
  <c r="E435" i="2"/>
  <c r="F435" i="2"/>
  <c r="E437" i="2"/>
  <c r="F437" i="2"/>
  <c r="E444" i="2"/>
  <c r="F444" i="2"/>
  <c r="F443" i="2" s="1"/>
  <c r="E451" i="2"/>
  <c r="F451" i="2"/>
  <c r="E458" i="2"/>
  <c r="E465" i="2"/>
  <c r="F465" i="2"/>
  <c r="E471" i="2"/>
  <c r="F471" i="2"/>
  <c r="E475" i="2"/>
  <c r="F475" i="2"/>
  <c r="E489" i="2"/>
  <c r="F489" i="2"/>
  <c r="E499" i="2"/>
  <c r="F502" i="2"/>
  <c r="F499" i="2" s="1"/>
  <c r="E507" i="2"/>
  <c r="E510" i="2"/>
  <c r="E514" i="2"/>
  <c r="F514" i="2"/>
  <c r="E517" i="2"/>
  <c r="F517" i="2"/>
  <c r="E526" i="2"/>
  <c r="F526" i="2"/>
  <c r="E529" i="2"/>
  <c r="F529" i="2"/>
  <c r="G541" i="2"/>
  <c r="F541" i="2"/>
  <c r="E544" i="2"/>
  <c r="E551" i="2"/>
  <c r="F551" i="2"/>
  <c r="E555" i="2"/>
  <c r="F555" i="2"/>
  <c r="E558" i="2"/>
  <c r="F558" i="2"/>
  <c r="E564" i="2"/>
  <c r="E566" i="2"/>
  <c r="F566" i="2"/>
  <c r="G571" i="2"/>
  <c r="F571" i="2"/>
  <c r="G573" i="2"/>
  <c r="F573" i="2"/>
  <c r="E576" i="2"/>
  <c r="F576" i="2"/>
  <c r="E580" i="2"/>
  <c r="F580" i="2"/>
  <c r="E588" i="2"/>
  <c r="F588" i="2"/>
  <c r="F583" i="2" s="1"/>
  <c r="E593" i="2"/>
  <c r="F593" i="2"/>
  <c r="G603" i="2"/>
  <c r="F603" i="2"/>
  <c r="E606" i="2"/>
  <c r="F606" i="2"/>
  <c r="E609" i="2"/>
  <c r="F609" i="2"/>
  <c r="E613" i="2"/>
  <c r="F613" i="2"/>
  <c r="E617" i="2"/>
  <c r="F617" i="2"/>
  <c r="E620" i="2"/>
  <c r="F620" i="2"/>
  <c r="E625" i="2"/>
  <c r="F625" i="2"/>
  <c r="E630" i="2"/>
  <c r="E636" i="2"/>
  <c r="E640" i="2"/>
  <c r="F640" i="2"/>
  <c r="E645" i="2"/>
  <c r="F645" i="2"/>
  <c r="E650" i="2"/>
  <c r="F650" i="2"/>
  <c r="E653" i="2"/>
  <c r="E656" i="2"/>
  <c r="F656" i="2"/>
  <c r="E659" i="2"/>
  <c r="F659" i="2"/>
  <c r="E667" i="2"/>
  <c r="F667" i="2"/>
  <c r="E671" i="2"/>
  <c r="F671" i="2"/>
  <c r="E674" i="2"/>
  <c r="F674" i="2"/>
  <c r="E678" i="2"/>
  <c r="F678" i="2"/>
  <c r="E684" i="2"/>
  <c r="F684" i="2"/>
  <c r="E693" i="2"/>
  <c r="F693" i="2"/>
  <c r="E697" i="2"/>
  <c r="E701" i="2"/>
  <c r="F701" i="2"/>
  <c r="E704" i="2"/>
  <c r="F704" i="2"/>
  <c r="E706" i="2"/>
  <c r="F706" i="2"/>
  <c r="E710" i="2"/>
  <c r="F710" i="2"/>
  <c r="E714" i="2"/>
  <c r="F714" i="2"/>
  <c r="E718" i="2"/>
  <c r="F718" i="2"/>
  <c r="E724" i="2"/>
  <c r="F724" i="2"/>
  <c r="E726" i="2"/>
  <c r="F726" i="2"/>
  <c r="E733" i="2"/>
  <c r="F733" i="2"/>
  <c r="F731" i="2" s="1"/>
  <c r="E738" i="2"/>
  <c r="F738" i="2"/>
  <c r="E744" i="2"/>
  <c r="F744" i="2"/>
  <c r="E747" i="2"/>
  <c r="F747" i="2"/>
  <c r="E750" i="2"/>
  <c r="E753" i="2"/>
  <c r="F753" i="2"/>
  <c r="E756" i="2"/>
  <c r="F756" i="2"/>
  <c r="E760" i="2"/>
  <c r="F760" i="2"/>
  <c r="E765" i="2"/>
  <c r="F765" i="2"/>
  <c r="E768" i="2"/>
  <c r="F768" i="2"/>
  <c r="E772" i="2"/>
  <c r="F772" i="2"/>
  <c r="E789" i="2"/>
  <c r="F789" i="2"/>
  <c r="E794" i="2"/>
  <c r="E797" i="2"/>
  <c r="F797" i="2"/>
  <c r="E800" i="2"/>
  <c r="F800" i="2"/>
  <c r="E803" i="2"/>
  <c r="F803" i="2"/>
  <c r="E822" i="2"/>
  <c r="F822" i="2"/>
  <c r="E832" i="2"/>
  <c r="F832" i="2"/>
  <c r="E835" i="2"/>
  <c r="F835" i="2"/>
  <c r="E838" i="2"/>
  <c r="F838" i="2"/>
  <c r="E844" i="2"/>
  <c r="F844" i="2"/>
  <c r="E846" i="2"/>
  <c r="F846" i="2"/>
  <c r="E849" i="2"/>
  <c r="F849" i="2"/>
  <c r="E871" i="2"/>
  <c r="E873" i="2"/>
  <c r="F873" i="2"/>
  <c r="F854" i="2" s="1"/>
  <c r="E879" i="2"/>
  <c r="F879" i="2"/>
  <c r="E883" i="2"/>
  <c r="F883" i="2"/>
  <c r="E887" i="2"/>
  <c r="F887" i="2"/>
  <c r="E891" i="2"/>
  <c r="F891" i="2"/>
  <c r="E893" i="2"/>
  <c r="F893" i="2"/>
  <c r="E896" i="2"/>
  <c r="F896" i="2"/>
  <c r="E904" i="2"/>
  <c r="F904" i="2"/>
  <c r="E906" i="2"/>
  <c r="F906" i="2"/>
  <c r="E908" i="2"/>
  <c r="F908" i="2"/>
  <c r="E911" i="2"/>
  <c r="F911" i="2"/>
  <c r="E914" i="2"/>
  <c r="F914" i="2"/>
  <c r="G917" i="2"/>
  <c r="F917" i="2"/>
  <c r="C928" i="2"/>
  <c r="D928" i="2"/>
  <c r="E928" i="2"/>
  <c r="C941" i="2"/>
  <c r="D941" i="2"/>
  <c r="E941" i="2"/>
  <c r="G17" i="2" l="1"/>
  <c r="G54" i="2"/>
  <c r="G236" i="2"/>
  <c r="G205" i="2"/>
  <c r="G140" i="2"/>
  <c r="G29" i="2"/>
  <c r="G272" i="2"/>
  <c r="G225" i="2"/>
  <c r="G189" i="2"/>
  <c r="G101" i="2"/>
  <c r="G544" i="2"/>
  <c r="G514" i="2"/>
  <c r="G426" i="2"/>
  <c r="G345" i="2"/>
  <c r="G315" i="2"/>
  <c r="G296" i="2"/>
  <c r="G12" i="2"/>
  <c r="G893" i="2"/>
  <c r="G564" i="2"/>
  <c r="G835" i="2"/>
  <c r="G724" i="2"/>
  <c r="G678" i="2"/>
  <c r="G261" i="2"/>
  <c r="G243" i="2"/>
  <c r="G219" i="2"/>
  <c r="G149" i="2"/>
  <c r="G129" i="2"/>
  <c r="G118" i="2"/>
  <c r="G95" i="2"/>
  <c r="G38" i="2"/>
  <c r="G914" i="2"/>
  <c r="G750" i="2"/>
  <c r="G701" i="2"/>
  <c r="G625" i="2"/>
  <c r="G435" i="2"/>
  <c r="G908" i="2"/>
  <c r="G887" i="2"/>
  <c r="G849" i="2"/>
  <c r="G822" i="2"/>
  <c r="G794" i="2"/>
  <c r="G756" i="2"/>
  <c r="G744" i="2"/>
  <c r="G714" i="2"/>
  <c r="G671" i="2"/>
  <c r="G653" i="2"/>
  <c r="G636" i="2"/>
  <c r="G617" i="2"/>
  <c r="G593" i="2"/>
  <c r="G555" i="2"/>
  <c r="G489" i="2"/>
  <c r="G366" i="2"/>
  <c r="G337" i="2"/>
  <c r="G308" i="2"/>
  <c r="G303" i="2"/>
  <c r="G265" i="2"/>
  <c r="G239" i="2"/>
  <c r="G222" i="2"/>
  <c r="G99" i="2"/>
  <c r="G423" i="2"/>
  <c r="G349" i="2"/>
  <c r="G911" i="2"/>
  <c r="G891" i="2"/>
  <c r="G871" i="2"/>
  <c r="G760" i="2"/>
  <c r="G747" i="2"/>
  <c r="G718" i="2"/>
  <c r="G674" i="2"/>
  <c r="G620" i="2"/>
  <c r="G558" i="2"/>
  <c r="G145" i="2"/>
  <c r="E397" i="2"/>
  <c r="G397" i="2" s="1"/>
  <c r="G399" i="2"/>
  <c r="G170" i="2"/>
  <c r="G172" i="2"/>
  <c r="E505" i="2"/>
  <c r="G507" i="2"/>
  <c r="G499" i="2"/>
  <c r="G502" i="2"/>
  <c r="G33" i="2"/>
  <c r="G896" i="2"/>
  <c r="G873" i="2"/>
  <c r="G838" i="2"/>
  <c r="G797" i="2"/>
  <c r="G768" i="2"/>
  <c r="G726" i="2"/>
  <c r="G704" i="2"/>
  <c r="G684" i="2"/>
  <c r="G656" i="2"/>
  <c r="G640" i="2"/>
  <c r="G630" i="2"/>
  <c r="G606" i="2"/>
  <c r="G517" i="2"/>
  <c r="G465" i="2"/>
  <c r="G437" i="2"/>
  <c r="G393" i="2"/>
  <c r="G370" i="2"/>
  <c r="G355" i="2"/>
  <c r="G276" i="2"/>
  <c r="G247" i="2"/>
  <c r="G208" i="2"/>
  <c r="G193" i="2"/>
  <c r="G153" i="2"/>
  <c r="G104" i="2"/>
  <c r="G904" i="2"/>
  <c r="E878" i="2"/>
  <c r="G879" i="2"/>
  <c r="G844" i="2"/>
  <c r="G800" i="2"/>
  <c r="G772" i="2"/>
  <c r="E731" i="2"/>
  <c r="G731" i="2" s="1"/>
  <c r="G733" i="2"/>
  <c r="G706" i="2"/>
  <c r="G693" i="2"/>
  <c r="G659" i="2"/>
  <c r="G645" i="2"/>
  <c r="G609" i="2"/>
  <c r="G576" i="2"/>
  <c r="G526" i="2"/>
  <c r="G471" i="2"/>
  <c r="E443" i="2"/>
  <c r="G443" i="2" s="1"/>
  <c r="G444" i="2"/>
  <c r="G418" i="2"/>
  <c r="G376" i="2"/>
  <c r="G358" i="2"/>
  <c r="G331" i="2"/>
  <c r="G306" i="2"/>
  <c r="G287" i="2"/>
  <c r="G252" i="2"/>
  <c r="G213" i="2"/>
  <c r="G197" i="2"/>
  <c r="G158" i="2"/>
  <c r="G110" i="2"/>
  <c r="G81" i="2"/>
  <c r="G906" i="2"/>
  <c r="G883" i="2"/>
  <c r="G846" i="2"/>
  <c r="G803" i="2"/>
  <c r="G789" i="2"/>
  <c r="G753" i="2"/>
  <c r="G738" i="2"/>
  <c r="G710" i="2"/>
  <c r="G697" i="2"/>
  <c r="G667" i="2"/>
  <c r="G650" i="2"/>
  <c r="G613" i="2"/>
  <c r="G580" i="2"/>
  <c r="G551" i="2"/>
  <c r="G529" i="2"/>
  <c r="G510" i="2"/>
  <c r="G475" i="2"/>
  <c r="G451" i="2"/>
  <c r="E382" i="2"/>
  <c r="G382" i="2" s="1"/>
  <c r="G383" i="2"/>
  <c r="G363" i="2"/>
  <c r="G334" i="2"/>
  <c r="E283" i="2"/>
  <c r="E282" i="2" s="1"/>
  <c r="G293" i="2"/>
  <c r="G256" i="2"/>
  <c r="G230" i="2"/>
  <c r="G217" i="2"/>
  <c r="G202" i="2"/>
  <c r="G138" i="2"/>
  <c r="G116" i="2"/>
  <c r="G92" i="2"/>
  <c r="G44" i="2"/>
  <c r="G832" i="2"/>
  <c r="G765" i="2"/>
  <c r="E583" i="2"/>
  <c r="G583" i="2" s="1"/>
  <c r="G588" i="2"/>
  <c r="G566" i="2"/>
  <c r="G458" i="2"/>
  <c r="E429" i="2"/>
  <c r="E409" i="2" s="1"/>
  <c r="G433" i="2"/>
  <c r="G410" i="2"/>
  <c r="E388" i="2"/>
  <c r="G389" i="2"/>
  <c r="G185" i="2"/>
  <c r="E164" i="2"/>
  <c r="G164" i="2" s="1"/>
  <c r="G166" i="2"/>
  <c r="E124" i="2"/>
  <c r="G124" i="2" s="1"/>
  <c r="G126" i="2"/>
  <c r="E56" i="2"/>
  <c r="E51" i="2" s="1"/>
  <c r="G51" i="2" s="1"/>
  <c r="G63" i="2"/>
  <c r="F144" i="2"/>
  <c r="E854" i="2"/>
  <c r="E178" i="2"/>
  <c r="E457" i="2"/>
  <c r="E602" i="2"/>
  <c r="F457" i="2"/>
  <c r="F429" i="2"/>
  <c r="F409" i="2" s="1"/>
  <c r="F407" i="2" s="1"/>
  <c r="F406" i="2" s="1"/>
  <c r="F137" i="2"/>
  <c r="C945" i="2"/>
  <c r="E890" i="2"/>
  <c r="F540" i="2"/>
  <c r="F488" i="2" s="1"/>
  <c r="F314" i="2"/>
  <c r="E314" i="2"/>
  <c r="F283" i="2"/>
  <c r="F282" i="2" s="1"/>
  <c r="F811" i="2"/>
  <c r="F810" i="2" s="1"/>
  <c r="F329" i="2"/>
  <c r="E246" i="2"/>
  <c r="E144" i="2"/>
  <c r="E11" i="2"/>
  <c r="E945" i="2"/>
  <c r="F616" i="2"/>
  <c r="E616" i="2"/>
  <c r="E235" i="2"/>
  <c r="E137" i="2"/>
  <c r="F32" i="2"/>
  <c r="F878" i="2"/>
  <c r="F876" i="2" s="1"/>
  <c r="E811" i="2"/>
  <c r="E540" i="2"/>
  <c r="F235" i="2"/>
  <c r="D945" i="2"/>
  <c r="F890" i="2"/>
  <c r="F666" i="2"/>
  <c r="F602" i="2"/>
  <c r="F388" i="2"/>
  <c r="F381" i="2" s="1"/>
  <c r="F380" i="2" s="1"/>
  <c r="E329" i="2"/>
  <c r="F80" i="2"/>
  <c r="F902" i="2"/>
  <c r="F900" i="2" s="1"/>
  <c r="E340" i="2"/>
  <c r="F123" i="2"/>
  <c r="E32" i="2"/>
  <c r="F742" i="2"/>
  <c r="F741" i="2" s="1"/>
  <c r="F639" i="2"/>
  <c r="E639" i="2"/>
  <c r="E109" i="2"/>
  <c r="F722" i="2"/>
  <c r="F246" i="2"/>
  <c r="E742" i="2"/>
  <c r="F554" i="2"/>
  <c r="F553" i="2" s="1"/>
  <c r="F178" i="2"/>
  <c r="F177" i="2" s="1"/>
  <c r="E902" i="2"/>
  <c r="F109" i="2"/>
  <c r="F107" i="2" s="1"/>
  <c r="F51" i="2"/>
  <c r="F11" i="2"/>
  <c r="E80" i="2"/>
  <c r="E666" i="2"/>
  <c r="F340" i="2"/>
  <c r="F336" i="2" s="1"/>
  <c r="G890" i="2" l="1"/>
  <c r="E381" i="2"/>
  <c r="E380" i="2" s="1"/>
  <c r="G380" i="2" s="1"/>
  <c r="G505" i="2"/>
  <c r="G109" i="2"/>
  <c r="E722" i="2"/>
  <c r="G722" i="2" s="1"/>
  <c r="G314" i="2"/>
  <c r="E554" i="2"/>
  <c r="G554" i="2" s="1"/>
  <c r="F281" i="2"/>
  <c r="G878" i="2"/>
  <c r="G56" i="2"/>
  <c r="G429" i="2"/>
  <c r="G32" i="2"/>
  <c r="G144" i="2"/>
  <c r="E876" i="2"/>
  <c r="G876" i="2" s="1"/>
  <c r="G388" i="2"/>
  <c r="G283" i="2"/>
  <c r="E900" i="2"/>
  <c r="G900" i="2" s="1"/>
  <c r="G902" i="2"/>
  <c r="G854" i="2"/>
  <c r="E810" i="2"/>
  <c r="G811" i="2"/>
  <c r="E741" i="2"/>
  <c r="G741" i="2" s="1"/>
  <c r="G742" i="2"/>
  <c r="G666" i="2"/>
  <c r="G639" i="2"/>
  <c r="G616" i="2"/>
  <c r="G602" i="2"/>
  <c r="E601" i="2"/>
  <c r="E488" i="2"/>
  <c r="E455" i="2" s="1"/>
  <c r="G540" i="2"/>
  <c r="G457" i="2"/>
  <c r="F455" i="2"/>
  <c r="F454" i="2" s="1"/>
  <c r="E407" i="2"/>
  <c r="G407" i="2" s="1"/>
  <c r="G409" i="2"/>
  <c r="E336" i="2"/>
  <c r="G340" i="2"/>
  <c r="G329" i="2"/>
  <c r="E281" i="2"/>
  <c r="G282" i="2"/>
  <c r="G246" i="2"/>
  <c r="G235" i="2"/>
  <c r="E177" i="2"/>
  <c r="G178" i="2"/>
  <c r="G137" i="2"/>
  <c r="F122" i="2"/>
  <c r="F121" i="2" s="1"/>
  <c r="E123" i="2"/>
  <c r="G123" i="2" s="1"/>
  <c r="E107" i="2"/>
  <c r="G107" i="2" s="1"/>
  <c r="G80" i="2"/>
  <c r="E48" i="2"/>
  <c r="E10" i="2"/>
  <c r="G11" i="2"/>
  <c r="F601" i="2"/>
  <c r="F600" i="2" s="1"/>
  <c r="F325" i="2"/>
  <c r="F324" i="2" s="1"/>
  <c r="F807" i="2"/>
  <c r="F806" i="2" s="1"/>
  <c r="F10" i="2"/>
  <c r="F9" i="2" s="1"/>
  <c r="F48" i="2"/>
  <c r="F47" i="2" s="1"/>
  <c r="F663" i="2"/>
  <c r="F662" i="2" s="1"/>
  <c r="F176" i="2"/>
  <c r="G381" i="2" l="1"/>
  <c r="E553" i="2"/>
  <c r="G553" i="2" s="1"/>
  <c r="G281" i="2"/>
  <c r="F175" i="2"/>
  <c r="E406" i="2"/>
  <c r="G406" i="2" s="1"/>
  <c r="E807" i="2"/>
  <c r="G810" i="2"/>
  <c r="E663" i="2"/>
  <c r="E662" i="2" s="1"/>
  <c r="G662" i="2" s="1"/>
  <c r="E600" i="2"/>
  <c r="G600" i="2" s="1"/>
  <c r="G601" i="2"/>
  <c r="G488" i="2"/>
  <c r="E325" i="2"/>
  <c r="G336" i="2"/>
  <c r="G177" i="2"/>
  <c r="E176" i="2"/>
  <c r="E122" i="2"/>
  <c r="E47" i="2"/>
  <c r="G47" i="2" s="1"/>
  <c r="G48" i="2"/>
  <c r="E9" i="2"/>
  <c r="G9" i="2" s="1"/>
  <c r="G10" i="2"/>
  <c r="E454" i="2" l="1"/>
  <c r="G454" i="2" s="1"/>
  <c r="G455" i="2"/>
  <c r="G807" i="2"/>
  <c r="E806" i="2"/>
  <c r="G806" i="2" s="1"/>
  <c r="G663" i="2"/>
  <c r="E324" i="2"/>
  <c r="G324" i="2" s="1"/>
  <c r="G325" i="2"/>
  <c r="G176" i="2"/>
  <c r="E175" i="2"/>
  <c r="G175" i="2" s="1"/>
  <c r="E121" i="2"/>
  <c r="G121" i="2" s="1"/>
  <c r="G122" i="2"/>
</calcChain>
</file>

<file path=xl/sharedStrings.xml><?xml version="1.0" encoding="utf-8"?>
<sst xmlns="http://schemas.openxmlformats.org/spreadsheetml/2006/main" count="3359" uniqueCount="1933">
  <si>
    <t>Kodas</t>
  </si>
  <si>
    <t>Pavadinimas</t>
  </si>
  <si>
    <t>SP lėšos</t>
  </si>
  <si>
    <t>2022 metų patikslinti asignavimai</t>
  </si>
  <si>
    <t>Asignavimų likutis nuo 2022 metų patikslintų asignavimų</t>
  </si>
  <si>
    <t>Efekto /Rezultato /Produkto /Indėlio</t>
  </si>
  <si>
    <t>Rodiklis</t>
  </si>
  <si>
    <t>Mato vnt.</t>
  </si>
  <si>
    <t>2022</t>
  </si>
  <si>
    <t>Aprašymas</t>
  </si>
  <si>
    <t>Pastaba</t>
  </si>
  <si>
    <t>Planas</t>
  </si>
  <si>
    <t>Faktas</t>
  </si>
  <si>
    <t>01.</t>
  </si>
  <si>
    <t>Miesto urbanistinės plėtros programa</t>
  </si>
  <si>
    <t>01.01.</t>
  </si>
  <si>
    <t>Užtikrinti kompleksišką ir darnų miesto planavimą</t>
  </si>
  <si>
    <t>Parengtų teritorijų planavimo, žemėtvarkos planavimo, žemės sklypų kadastrinių matavimų dokumentų</t>
  </si>
  <si>
    <t>vnt.</t>
  </si>
  <si>
    <t>01.01.01.</t>
  </si>
  <si>
    <t>Rengti teritorijų planavimo dokumentus, padedančius užtikrinti darniąją miesto plėtrą</t>
  </si>
  <si>
    <t>01.01.01.01</t>
  </si>
  <si>
    <t>Koreguoti Šiaulių miesto savivaldybės teritorijos bendrąjį planą</t>
  </si>
  <si>
    <t>1.01.</t>
  </si>
  <si>
    <t>Koreguotų bendrojo plano dalių</t>
  </si>
  <si>
    <t>Lėšos panaudos pagal pateiktą sąskaitą,  Atliktas Šiaulių miesto bendrojo plano koregavimo techninės klaidos taisymas.</t>
  </si>
  <si>
    <t>Atliktas Bendrojo plano pakeitimas</t>
  </si>
  <si>
    <t>proc.</t>
  </si>
  <si>
    <t>2022 m.: 2021 m. buvo planuojama pradėti Bendrojo plano parengiamuosius darbus t.y. atlikti Bendrojo plano stebėseną. 2022 m. atsisakyta rengti Bendrojo plano stebėseną ir taupant lėšas suplanuota Bendrojo plano keitimo procedūras ir Bendrojo plano stebėseną atlikti vienu projektu. Pradėtos pirkimo procedūros, darbai pagal sutartį bus atliekami 2023-2025 metais.</t>
  </si>
  <si>
    <t>Parengtas Bendrojo plano koregavimas teritorijoje J. Jablonskio g. 14 ir 16, Šiauliuose</t>
  </si>
  <si>
    <t>Parengtas Bendrojo plano koregavimas, patvirtintas 2022-02-03  sprendimu Nr. T-45 ir užregistruotas TPDR.</t>
  </si>
  <si>
    <t>Parengta Bendrojo plano stebėsena</t>
  </si>
  <si>
    <t>Parengtas Šiaulių miesto bendrojo plano koregavimas teritorijose tarp Trumpiškių, Bačiūnų, Pramonės g. ir želdynų ploto bei Šiaulių miesto administracinės ribos, Lingailių g., sklypo, kurio kadastro Nr. 2901/8001:0007, ir Bačiūnų g.</t>
  </si>
  <si>
    <t>01.01.01.02</t>
  </si>
  <si>
    <t>Organizuoti detaliųjų ir specialiųjų planų parengimą</t>
  </si>
  <si>
    <t>Parengtų detaliųjų ir specialiųjų planų</t>
  </si>
  <si>
    <t>Detaliųjų planų rengimas 2022 m. buvo vykdomas pagal 2021 m. metų eigoje atsiradusį poreikį.</t>
  </si>
  <si>
    <t>1.10.</t>
  </si>
  <si>
    <t>Parengtas Teritorijos tarp Gegužių, Architektų, Gardino ir Aido gatvių Šiauliuose detalusis planas</t>
  </si>
  <si>
    <t>Parengtas detalusis planas, sprendiniai  peržiūrimi ir koreguojami pagal teismo sprendimą.</t>
  </si>
  <si>
    <t>Parengtas Talkšos ežero ir jo prieigų, Ežero gyvenamojo rajono bei teritorijos Vilniaus g. 72, Šiauliuose, detalusis planas</t>
  </si>
  <si>
    <t>Parengtas detalusis planas, patvirtintas 2022-03-17  įsakymu Nr. A-456 ir užregistruotas TPDR. Darbai atlikti, lėšos panaudotos pagal pateiktą sąskaitą.</t>
  </si>
  <si>
    <t>Parengtas Industrinio parko (teritorijos šalia Dubijos, Radviliškio, P. Motiekaičio gatvių) Šiauliuose detaliojo plano koregavimas</t>
  </si>
  <si>
    <t>Parengtas detaliojo plano koregavimas, patvirtintas 2022-05-31  įsakymu Nr. A-1015 ir užregistruotas TPDR. Darbai atlikti, lėšos panaudotos pagal pateiktą sąskaitą.</t>
  </si>
  <si>
    <t>Koreguotas teritorijos Liejyklos g. 29, 31, 33 ir Išradėjų g. 18 detalusis planas</t>
  </si>
  <si>
    <t>Parengtas detaliojo plano koregavimas, patvirtintas 2022-12-21  įsakymu Nr. A-2196 ir užregistruotas TPDR. Darbai atlikti, lėšos panaudotos pagal planą.</t>
  </si>
  <si>
    <t>Sukurtas Šiaulių miesto 3D žemėlapis su centrinės dalies realios situacijos detalizavimu</t>
  </si>
  <si>
    <t>Paslauga suteikta, atsiskaityta su tiekėjais.</t>
  </si>
  <si>
    <t>Parengtas Supaprastinta tvarka parengto detaliojo plano teritorijoms J. Basanavičiaus, Pakruojo ir Gamybos g. priklausančioms AB „Namų detalės“  koregavimas</t>
  </si>
  <si>
    <t>Parengtas detaliojo plano koregavimas, patvirtintas 2022-07-21  įsakymu Nr. A-1304 ir užregistruotas TPDR.. Darbai atlikti, lėšos panaudotos pagal pateiktą sąskaitą.</t>
  </si>
  <si>
    <t>Parengtas Teritorijos tarp Aušros al., Žemaitės, Dobilo ir Vaisių g. (Centrinio parko) Šiaulių mieste detaliojo plano keitimas</t>
  </si>
  <si>
    <t>Parengtas detalusis planas, sprendiniai taisomi pagal gautas VTPSI išvadas.  Įgyvendinimas nukeliamas į 2023 m.</t>
  </si>
  <si>
    <t>Parengtas Pramonės ir Išradėjų gatvių sankirtos detaliojo plano koregavimas</t>
  </si>
  <si>
    <t>Parengtas detalusis planas, patvirtintas 2022-12-08 įsakymu Nr. A-2111 ir užregistruotas TPDR. Darbai atlikti, lėšos panaudotos pagal pateiktą sąskaitą.</t>
  </si>
  <si>
    <t>Parengtas Supaprastinta tvarka parengto detaliojo plano sklypui Lyros g.13 keitimas</t>
  </si>
  <si>
    <t>Parengtas Supaprastinta tvarka parengto žemės sklypo Sembos g. 2, Šiauliuose detaliojo plano keitimas</t>
  </si>
  <si>
    <t>Parengtas detalusis planas, patvirtintas 2021-07-30  įsakymu Nr. A-1252 ir užregistruotas TPDR.</t>
  </si>
  <si>
    <t>Parengtas Prisikėlimo aikštės su prieigomis detaliojo plano keitimas</t>
  </si>
  <si>
    <t>01.01.01.04</t>
  </si>
  <si>
    <t>Rengti žemėtvarkos planavimo dokumentus, žemės sklypų kadastrinius matavimus</t>
  </si>
  <si>
    <t>Parengta kadastrinių matavimų bylų, žemės sklypų pertvarkymo projektų</t>
  </si>
  <si>
    <t>Lėšos už 2022 m. panaudotos viršijant planą  (80 parengtų projektų ir kadastrinių matavimų), buvo parengti 26 suformavimo projektai ir atlikti 76 kadastriniai matavimai), metų eigoje 10 000 Eur buvo perkelta iš priemonės 01.01.01.04 „Koreguoti Šiaulių miesto savivaldybės teritorijos bendrąjį planą“.</t>
  </si>
  <si>
    <t>01.01.02.</t>
  </si>
  <si>
    <t>Pagerinti miesto teigiamo architektūrinio ir vizualinio įvaizdžio kokybę</t>
  </si>
  <si>
    <t>01.01.02.01</t>
  </si>
  <si>
    <t>Formuoti miesto teigiamą architektūrinį ir vizualųjį įvaizdį</t>
  </si>
  <si>
    <t>Parengtų, įgyvendintų projektinių pasiūlymų, idėjos konkursų</t>
  </si>
  <si>
    <t>Konkursai planuojami pagal poreikį</t>
  </si>
  <si>
    <t>Parengtas paminklo "Tautos laisvė" idėjos konkursas</t>
  </si>
  <si>
    <t>Įgyvendinta, konkursas įvyko, jo metu buvo išrinkta paminklo idėja.</t>
  </si>
  <si>
    <t>Įgyvendintas paminklo "Tautos laisvė" projektas</t>
  </si>
  <si>
    <t>2022 m.: Neįgyvendinta ir lėšos nepanaudotos dėl užsitęsusio paminklo "Tautos laisvė" idėjos konkurso</t>
  </si>
  <si>
    <t>Parengtas paminklo "Tautos laisvė" techninis projektas</t>
  </si>
  <si>
    <t>Atlikta Mozaikos „Šiauliai“, adresu Tilžės g. 198, Šiauliai, ekspertizė</t>
  </si>
  <si>
    <t>01.01.02.03.</t>
  </si>
  <si>
    <t>Organizuoti projektinių darbų finansavimą</t>
  </si>
  <si>
    <t>Architektūros, urbanistikos ir paveldosaugos skyriaus parengtų techninių projektų</t>
  </si>
  <si>
    <t>Parengtas dviračių trasos "Pump track" projektas;
Atlikti geologiniai tyrinėjimai Lieporių parke;
Parengtas elektros prijungimo projektas Talkšos ežero pakrantės teritorijoje. Atliktas fontano modernizavimo projektas</t>
  </si>
  <si>
    <t>1.05.</t>
  </si>
  <si>
    <t>Statybos ir renovacijos skyriaus parengtų techninių projektų</t>
  </si>
  <si>
    <t>1. Parengtas dainavimo mokyklos "Dagilėlis" remonto projektas.
2. Parengtas Rasos progimnazijos (Tiesos g. 1, Šiauliai) stadiono techninis projektas.
3. Parengtas Šiaulių Centro pradinės (A. Mickevičiaus g. 9, Šiauliai) mokyklos paprastojo remonto techninis projektas
4. Kolumbariumo K. Donelaičio kapinėse projektas parengtas, 2023 metų pradžioje bus gautas statybos leidimas. (projekto baigtumas - 90%)
5. Parengtas Šiaulių lopšelio – darželio „Salduvė“ (Vilniaus g. 38D, Šiauliai) pastato energinio efektyvumo didinimo techninis projektas. 2023 metų pradžioje bus gautas statybos leidimas (projekto baigtumas - 90%)
6. Parengtas Šiaulių lopšelio – darželio „Žiburėlis“ (Darbininkų g. 30, Šiauliai) pastato energinio efektyvumo didinimo techninis projektas. 2023 metų pradžioje bus gautas statybos leidimas (projekto baigtumas - 70%)
7. Parengtas Šiaulių lopšelio – darželio „Žiogelis“ (Dainų g. 11, Šiauliai) pastato energinio efektyvumo didinimo techninis projektas.
8. Parengtas Šiaulių menų mokyklos (Krymo g. 32-1, Šiauliai) pastato energinio efektyvumo didinimo projektas.
9. Parengtas Gytarių progimnazijos (K. Korsako g. 10, Šiauliai) sporto aikštyno atnaujinimo techninis projektas . 2023 metų pradžioje bus gautas statybos leidimas (projekto baigtumas - 90%).
10. Dėl užsitęsusios pirkimo procedūros, 2022 metų gale užsakytas Santarvės gimnazijos (Vytauto g. 113, Šiauliai) techninio projekto parengimas. (projekto baigtumas - 30 %).
11. Parengtas Šiaulių lopšelio – darželio „Trys nykštukai“ (, Šiauliai) techninis projektas.
12. Dėl užsitęsusios pirkimo procedūros, 2022 metų gale užsakytas Šiaulių Normundo Valterio jaunimo mokyklos (Pabalių g. 53) pastato remonto techninis projektas. (projekto baigtumas - 0 %).
13. KĮ "Saulė" salės akustikos projektavimo pirkimo organizavimas ir projektavimas perduotas KĮ "Saulė"</t>
  </si>
  <si>
    <t>Miesto ūkio ir aplinkos skyriaus parengtų techninių projektų</t>
  </si>
  <si>
    <t>MŪAS projektai: 
1. Rasos/Aukštabalio (41332,85 eur);
2. Serbentų Pramonės g. (21211,3 eur);
3. Aerouosto g. (17956,52 eur); 
4.Tilžės viaduko ekspertizė ( 11979,0 eur);
5.tarp Purienų ir Spindulio g.(2878,59 eur); 
6. Pakapės g. (3433,98 eur);
7. Pikeliškės g. (2586,98 eur);
8. Tauro g. (1960,2 eur) ; 
9. Liejyklos g. (3712,28 eur); 
10. Architektų – Gardino sankryža (508,2 eur)
Iš viso MŪAS: 107559,9 eur.</t>
  </si>
  <si>
    <t>01.01.03.</t>
  </si>
  <si>
    <t>Organizuoti kultūros paveldo apsaugą</t>
  </si>
  <si>
    <t>01.01.03.01</t>
  </si>
  <si>
    <t>Organizuoti kultūros paveldo tvarkybą</t>
  </si>
  <si>
    <t>Sutvarkyta kultūros paveldo objektų</t>
  </si>
  <si>
    <t>Metalinės tvoros įrengimo A. ir N. Zubovų parke, šalia Dvaro g., techninis darbo projektas.</t>
  </si>
  <si>
    <t>01.01.04.</t>
  </si>
  <si>
    <t>Kokybiškai administruoti Šiaulių m. erdvinių duomenų bazę</t>
  </si>
  <si>
    <t>01.01.04.01</t>
  </si>
  <si>
    <t>Organizuoti miesto erdvinių duomenų bazės techninę priežiūrą, programinės įrangos atnaujinimą</t>
  </si>
  <si>
    <t>Atnaujinta programinė įranga</t>
  </si>
  <si>
    <t>Atlikti programinės įrangos atnaujinimai: 1) Programinės įrangos GeoMap 2022 atnaujinimas į GeoMap 2023; 2) GIS GeoMap atnaujinimas į naujausią GIS GeoMap 2023 kartu su AutoCad Map 3D 1 metų prenumeratos pratęsimu, 3. Programinės įrangos "Akis Pro" įmonės tinklinės licencijos atnaujinimas su metiniu programinės įrangos techniniu palaikymu.</t>
  </si>
  <si>
    <t>01.01.04.02</t>
  </si>
  <si>
    <t>Organizuoti Šiaulių miesto savivaldybės geodezijos ir kartografijos darbus</t>
  </si>
  <si>
    <t>Parengta topografinių planų</t>
  </si>
  <si>
    <t>Parengtos 6 toponuotraukos: Dainų parko topografinio plano papildymas su šulinių detalizacija, Senosios kapinės: tvora, Prisikėlimo aikštės su prieigomis papildymas, Dainų parko teritorijos papildymas, Aušros al., Tilžės g., Vasario 16-osios, Aušros takas, Varpo g. (su požeminėmis komunikacijomis).</t>
  </si>
  <si>
    <t>02.</t>
  </si>
  <si>
    <t>Kultūros plėtros programa</t>
  </si>
  <si>
    <t>02.01.</t>
  </si>
  <si>
    <t>Skatinti įvairių visuomenės grupių dalyvavimą kultūroje puoselėjant kultūros tradicijas ir  kultūrinės raiškos įvairovę bei gerinti kultūrinių paslaugų prieinamumą ir kokybę</t>
  </si>
  <si>
    <t>Gyventojų įsitraukimo į miesto kultūrinį gyvenimą augimas</t>
  </si>
  <si>
    <t>Kultūros paslaugų vartotojų skaičiaus augimas</t>
  </si>
  <si>
    <t>Atnaujintų kultūros įstaigų/objektų</t>
  </si>
  <si>
    <t>02.01.01.</t>
  </si>
  <si>
    <t>Užtikrinti miesto kultūrinio gyvenimo gyvybingumą, ugdyti ir skatinti miesto gyventojų ir jaunimo pilietinį aktyvumą bei tautinį sąmoningumą</t>
  </si>
  <si>
    <t>02.01.01.01</t>
  </si>
  <si>
    <t>Skatinti Šiaulių miesto kultūros ir meno įvairovę, sklaidą, prieinamumą</t>
  </si>
  <si>
    <t>Finansuotų kultūros projektų</t>
  </si>
  <si>
    <t>2022 metais kultūros projektų finansavimo  konkursui buvo pateiktos 48 paraiškos. Kultūros ekspertų komisija finansavimą rekomendavo skirti 33 kultūros projektams. Negavus papildomo finansavimo iš Lietuvos kultūros tarybos, du projektų vykdytojai atsisakė vykdyti projektus. 2022 metais finansuotas 31 kultūros projektas  už 42,0 tūkst. Eur.</t>
  </si>
  <si>
    <t>02.01.01.02</t>
  </si>
  <si>
    <t>Skatinti meno kūrėjus</t>
  </si>
  <si>
    <t>Įteiktų premijų ir stipendijų</t>
  </si>
  <si>
    <t>2022 m. skirtos dvi Šiaulių miesto savivaldybės premijos po 1500 Eur  Valstybinio Šiaulių dramos teatro aktoriams; 4 kultūros ir meno premijos po 3500 Eur;  paskirtos 4 stipendijos po 1800 Eur jauniesiems menininkams; skirta viena premija už geriausią kultūrinės edukacijos projektą  - 2000 Eur.</t>
  </si>
  <si>
    <t>02.01.01.10</t>
  </si>
  <si>
    <t>Užtikrinti reprezentacinių Šiaulių miesto festivalių tęstinumą, jų ilgalaikiškumą, dalinį finansavimą, skatinti naujų idėjų, raiškos formų atsiradimą ir raidą</t>
  </si>
  <si>
    <t>Finansuotų festivalių</t>
  </si>
  <si>
    <t>2022 m. 7 reprezentaciniams Šiaulių miesto festivaliams iš dalies finansuoti skirta 235,0 tūkst. Eur: „Resurrexit“ - 26,0; „Ant rubežiaus“ - 21,0; tarptautiniam Chaimo Frenkelio vilos vasaros festivaliui - 49,0;  „Big Band Festival Šiauliai“ - 37,0; „Virus“ - 44,3; „Šiaulių Monmartro respublika“ - 25,7; „Šiaulių kultūros naktys“ - 32,0.</t>
  </si>
  <si>
    <t>Sukurtų reprezentacinių miesto priemonių</t>
  </si>
  <si>
    <t>2022 m. Turizmo informacijos centras įgyvendino reprezentacinių priemonių paketą: surengė nemokamas ekskursijas 2022-12-16, 2022-03-11, 2022-07-06 ir 2022-10-01 (95 dalyviai); įgyvendino  Šiaulių miesto turizmo išteklių, naujienų, renginių viešinimo kampanijas Lietuvos, Latvijos ir Estijos naujienų ir kelionių portaluose ir kt.; suorganizavo 2 informacinius-pažintinius turus apie Šiaulius Latvijos ir Estijos kelionių organizatoriams. Rugsėjo 24-25 d. kartu su VšĮ „Architektūros fondas“ surengė atvirosios architektūros savaitgalį „Pastatai kalba. Šiauliai“, jo metu pristatyta 15 išskirtinės architektūros objektų; suorganizavo VI Šiaulių krašto turizmo forumą ,,Infrastruktūra ir turizmo plėtra“ kartu su VšĮ „Keliauk Lietuvoje“ nuotoliniu būdu. Stebėjo 1009 asmenys, perskaityta 10 pranešimų.</t>
  </si>
  <si>
    <t>02.01.01.11</t>
  </si>
  <si>
    <t>Koordinuoti valstybinių švenčių, atmintinų dienų paminėjimą, svarbių renginių, plenerų organizavimą, puoselėti tautines tradicijas</t>
  </si>
  <si>
    <t>Surengtų miesto, valstybinių, kalendorinių ir atmintinų dienų švenčių</t>
  </si>
  <si>
    <t>Miesto šventė „Šiaulių dienos 786“ vyko rugsėjo 9-10 d. Vilniaus g. bulvare ir amfiteatre, Varpo g., Prisikėlimo aikštėje, Centrinio parko estradoje, Dainų parke, Talkšos ežero pakrantėje. Motorizuotoje kolonoje dalyvavo per 90 transporto priemonių, eisenoje - per 3000 šiauliečių. Dainų parke parengta meninė šviesų ir UV dekoracijų magiška ekspozicija, Talkšos ežero pakrantėje - šokančių ir šviečiančių vandens fontanų šou, amfiteatre - kino festivalio „Sidabrinės gervės naktys“ renginys. Prisikėlimo aikštėje įvyko muzikos, šokio ir vaizdo projekcijų elementų šou „Vilniaus sapnas“. Miesto šventėje dalyvavo 4317 dalyvių, apsilankė 50500 lankytojų.</t>
  </si>
  <si>
    <t>2022 m.: Rodiklio pavadinimas turi būti „Surengtų miesto švenčių“.</t>
  </si>
  <si>
    <t>Surengtų valstybinių švenčių ir atmintinų dienų</t>
  </si>
  <si>
    <t>2022 m. surengtos 9 šventės: 2022-01-13 - Laisvės gynėjų dienos renginiai; 2022-02-16 - Lietuvos valstybės atkūrimo dienos renginiai; 2022-03-11 - Lietuvos valstybės nepriklausomybės dienos atkūrimo renginiai; 2022-04-15  - Kultūros diena Šiaulių kultūros centre; 2022-06-01 Tarptautinė vaikų gynimo dienos renginiai ir šventė „Aš - mažasis šiaulietis“; 2022-06-14 vyko Gedulo ir vilties dienos renginiai; 2022-07-06 - Lietuvos valstybės (Lietuvos karaliaus Mindaugo karūnavimo) ir Tautiškos giesmės dienos renginiai; rugpjūčio 23 d., 27 d., 31 d. vyko Baltijos kelio dienos renginiai; rugsėjo 24 - spalio 5 d. vyko Tarptautinės pagyvenusių žmonių dienos renginiai.</t>
  </si>
  <si>
    <t>Įgyvendintų Tolygios kultūrinės raidos programos projektų, papildomų kultūros priemonių</t>
  </si>
  <si>
    <t>2022 m. Tolygios kultūrinės raidos programos I etapo 14 projektų kofinansavimui buvo skirta 22,1 tūkst. Eur SB lėšų, II etapo 6 projektų kofinansavimui - 13,9 tūkst. Eur. Iš viso 20 Tolygios kultūrinės raidos programos projektams kofinansuoti skirta 36,0 tūkst. Eur. Iš viso kofinansuota (pagal papildomus prašymus ir gavus finansavimą iš Lietuvos kultūros tarybos) 12 papildomų kultūros priemonių už 10,0 tūkst. Eur.</t>
  </si>
  <si>
    <t>Parengtų valstybinių švenčių, atmintinų dienų, kalendorinių ir miesto švenčių renginių programų</t>
  </si>
  <si>
    <t>2022 m. parengta 13 programų: Laisvės gynėjų dienos, Lietuvos valstybės atkūrimo dienos, Užgavėnių, Lietuvos valstybės nepriklausomybės atkūrimo dienos, Kultūros dienos, Tarptautinės vaikų gynimo dienos ir šventės „Aš - mažasis šiaulietis“, Gedulo ir vilties dienos, Joninių, Valstybės (Lietuvos karaliaus Mindaugo karūnavimo) dienos, Baltijos kelio ir Laisvės dienos, miesto šventės „Šiaulių dienos 786“ programa. Tarptautinės pagyvenusių žmonių dienos, Kalėdų eglės įžiebimo šventės programos.</t>
  </si>
  <si>
    <t>Surengtų kalendorinių švenčių</t>
  </si>
  <si>
    <t>2022-03-01 įvyko etnokultūrinė kalendorinė šventė Užgavėnės. 2022-06-23 įvyko Joninių renginiai Vilniaus g. bulvare, skvere prie Šiaulių miesto savivaldybės, Saulės Laikrodžio aikštėje, Talkšos ežero pakrantėje. 2022-12-10 įvyko Kalėdų eglės įžiebimo šventė Prisikėlimo aikštėje. 2022-12-17 įvyko Kalėdinė šventė Rėkyvoje. Nuo gruodžio 10 d.  iki 2023 m. sausio 29 d. Prisikėlimo aikštėje ir skvere prie Šiaulių miesto savivaldybės buvo eksponuojama vaikų ir jaunimo darbų paroda „Kalėdų atvirukas Šiauliams“.</t>
  </si>
  <si>
    <t>Įgyvendintų svarbių miesto renginių / projektų</t>
  </si>
  <si>
    <t>2022 m.  kultūros įstaigos įgyvendino 38 svarbius miesto projektus / priemones: Šiaulių m. kultūros centras „Laiptų galerija“ įgyvendino 4 renginių ciklus;  Šiaulių dailės galerija  įvykdė 5 tęstinius projektus; Šiaulių miesto koncertinė įstaiga „Saulė“ suorganizavo 14  koncertų / koncertų ciklų; Šiaulių miesto savivaldybės viešoji biblioteka suorganizavo 6 renginių ciklus; Šiaulių kultūros centras įgyvendino 7 projektus; Šiaulių turizmo informacijos centras vykdė 2 tęstines priemones.</t>
  </si>
  <si>
    <t>Įgyvendintų papildomų kultūros priemonių</t>
  </si>
  <si>
    <t>Iš viso per 2022 metus kofinansuota (pagal papildomus prašymus ir gavus finansavimą iš Lietuvos kultūros tarybos) 12 papildomų kultūros priemonių už 10,0 tūkst. Eur.</t>
  </si>
  <si>
    <t>02.01.01.11.02</t>
  </si>
  <si>
    <t>Koordinuoti valstybinių švenčių, atmintinų dienų paminėjimą, svarbių renginių organizavimą</t>
  </si>
  <si>
    <t>Sausio 13-oji, Laisvės gynėjų diena</t>
  </si>
  <si>
    <t>2022-01-13 surengtas Laisvės gynėjų dienos minėjimas skvere prie Šiaulių miesto savivaldybės. Degė atminimo laužai, buvo giedama tautiška giesmė, ceremoniją tęsė Lietuvos kariuomenės KASP Prisikėlimo apygardos trys salvės, įvyko koncertas.</t>
  </si>
  <si>
    <t>Vasario 16-oji, Lietuvos valstybės atkūrimo diena</t>
  </si>
  <si>
    <t>2022-02-16 vyko Lietuvos valstybės atkūrimo dienos renginiai Prisikėlimo aikštėje, Šiaulių miesto kultūros centre „Laiptų galerija“,  Šiaulių Švč. Mergelės Marijos nekaltojo prasidėjimo bažnyčioje surengtas koncertas.</t>
  </si>
  <si>
    <t>Užgavėnės</t>
  </si>
  <si>
    <t>2022-03-01 įvyko etnokultūrinė šventė Užgavėnės: „Baisiai gražių Morių“ paroda Kaštonų al. ir gražiausios Morės rinkimai. Dėl karo Ukrainoje neįvyko „Užgavėnių balaganas Šiauliuose“, persirengėlių eitynės, folkgrupės „Sadūnai“ koncertas, Morės deginimo ceremonija  Lašininio ir Kanapinio kovos ir kt.</t>
  </si>
  <si>
    <t>Kovo 11-oji, Lietuvos nepriklausomybės atkūrimo diena</t>
  </si>
  <si>
    <t>2022-03-11 Prisikėlimo aikštėje įvyko iškilminga Lietuvos valstybės vėliavos pakėlimo ceremonija ir minėjimas,  paroda „Lenkija ir Lietuva - kartu vardan laisvės“ skvere prie Šiaulių m. savivaldybės. Šiaulių kultūros centre įvyko koncertinės įstaigos „Saulė“ organizuotas koncertas. Šiaulių miesto kultūros centre „Laiptų galerija“ įvyko renginys „Skanduokim Lietuvą“.</t>
  </si>
  <si>
    <t>Tarptautinė vaikų gynimo diena</t>
  </si>
  <si>
    <t>2022-06-01 įvyko Tarptautinės vaikų gynimo dienos ir šventės „Aš - mažasis šiaulietis“ renginiai  Vilniaus g. bulvare, Šv. apaštalų Petro ir Pauliaus katedroje ir Šiaulių Šv. Ignaco Lojolos bažnyčioje.</t>
  </si>
  <si>
    <t>Birželio 14-oji, Gedulo ir vilties diena</t>
  </si>
  <si>
    <t>2022-06-14 įvyko Gedulo ir vilties dienos renginiai Geležinkelio rampoje, Šv. apaštalų Petro ir Pauliaus katedroje, skvere prie Šiaulių miesto savivaldybės. Šv. apaštalų Petro ir Pauliaus katedroje surengtas koncertas „Skriski, skriski Lietuvėlėn“.</t>
  </si>
  <si>
    <t>Joninės</t>
  </si>
  <si>
    <t>2022-06-23 įvyko Joninių „Aktyvios Joninės mieste“ renginiai Vilniaus g. bulvare, skvere prie Šiaulių miesto savivaldybės, Saulės Laikrodžio aikštėje, Talkšos ežero pakrantėje.</t>
  </si>
  <si>
    <t>Liepos 6-oji, Valstybės (Lietuvos karaliaus Mindaugo karūnavimo) diena)</t>
  </si>
  <si>
    <t>2022-07-06 įvyko Lietuvos valstybės (Lietuvos karaliaus Mindaugo karūnavimo) ir Tautiškos giesmės dienos renginiai Prisikėlimo aikštėje, Šv. apaštalų Petro ir Pauliaus katedroje, Chaimo Frenkelio viloje.</t>
  </si>
  <si>
    <t>Rugpjūčio 23-oji, Baltijos kelio diena, Laisvės diena</t>
  </si>
  <si>
    <t>2022-08-23 įvyko Baltijos kelio dienos renginiai Saulės laikrodžio aikštėje, Šv. apaštalų Petro ir Pauliaus katedroje,  paroda „Ukraina: karas Europoje“ Prisikėlimo aikštėje (rugsėjo 12-26 d.), rugpjūčio 27 d.  - renginys Sukilėlių kalnelyje, rugpjūčio 31 d.  -  renginys Šiaulių kultūros centre.</t>
  </si>
  <si>
    <t>Miesto šventė „Šiaulių dienos“</t>
  </si>
  <si>
    <t>Miesto šventė „Šiaulių dienos 786“ vyko rugsėjo 9-10 d. Vilniaus g. bulvare ir amfiteatre, Varpo g., Prisikėlimo aikštėje, Centrinio parko estradoje, Dainų parke, Talkšos ežero pakrantėje. Motorizuotoje kolonoje dalyvavo per 90 transporto priemonių, eisenoje - per 3000 šiauliečių. Dainų parke parengta meninė šviesų ir UV dekoracijų magiška ekspozicija, Talkšos ežero - šokančių ir šviečiančių vandens fontanų šou, amfiteatre - kino festivalio „Sidabrinės gervės naktys“ renginys. Prisikėlimo aikštėje įvyko muzikos, šokio ir vaizdo projekcijų elementų šou „Vilniaus sapnas“.</t>
  </si>
  <si>
    <t>Tarptautinė pagyvenusių žmonių diena</t>
  </si>
  <si>
    <t>Rugsėjo 24 - spalio 5 d. vyko Tarptautinės pagyvenusių žmonių dienos renginiai: k. į. „Saulė“ surengė koncertą Šiaulių kultūros centre; Valstybiniame Šiaulių dramos teatre parodytas spektaklis „Bagadelnia“; Šiaulių kultūros centras surengė 5 kūrybinius-edukacinius užsiėmimus senjorams; spalio 1 d. senjorai lankėsi Šiaulių „Aušros“ muziejuje, dalyvavo Turizmo informacijos centro ekskursijose.</t>
  </si>
  <si>
    <t>Kalėdų eglės įžiebimo šventė</t>
  </si>
  <si>
    <t>2022-12-10  įvyko Kalėdų eglės įžiebimo šventė Prisikėlimo aikštėje: pasaka „Stebuklo beieškant“, grupės „Antikvariniai Kašpirovskio dantys“ koncertas. Gruodžio 17 d. vyko Kalėdinė šventė Rėkyvoje. Nuo 2022-12-10  iki 2023-01-29 Prisikėlimo aikštėje ir skvere prie Šiaulių miesto savivaldybės eksponuojama vaikų ir jaunimo darbų paroda „Kalėdų atvirukas Šiauliams“.</t>
  </si>
  <si>
    <t>Iš viso per 2022 m. parengta 13 programų: Laisvės gynėjų dienos, Lietuvos valstybės atkūrimo dienos, Užgavėnių, Lietuvos valstybės nepriklausomybės atkūrimo dienos, Kultūros dienos, Tarptautinės vaikų gynimo dienos ir šventės „Aš - mažasis šiaulietis“, Gedulo ir vilties dienos, Joninių, Valstybės (Lietuvos karaliaus Mindaugo karūnavimo) dienos, Baltijos kelio ir Laisvės dienos, miesto šventės „Šiaulių dienos 786“ programa. Tarptautinės pagyvenusių žmonių dienos, Kalėdų eglės įžiebimo šventės programos.</t>
  </si>
  <si>
    <t>Įgyvendintų Tolygios kultūrinės raidos projektų, papildomų kultūros priemonių</t>
  </si>
  <si>
    <t>2022 m. Tolygios kultūrinės raidos programos I etapo 14 projektų kofinansavimui buvo skirta 22,1 tūkst. Eur SB lėšų, II etapo 6 projektų kofinansavimui buvo skirta 13,9 tūkst. Eur. Iš viso 2022 m. 20 Tolygios kultūrinės raidos programos projektams kofinansuoti skirta 36,0 tūkst. Eur. Iš viso per 2022 metus kofinansuotos (pagal papildomus prašymus ir gavus finansavimą iš Lietuvos kultūros tarybos) 12 papildomų kultūros priemonių už 10,0 tūkst. Eur.</t>
  </si>
  <si>
    <t>2022 m.: Rodiklio pavadinimas turi būti „Įgyvendinta papildomų kultūros priemonių“.</t>
  </si>
  <si>
    <t>02.01.01.11.03</t>
  </si>
  <si>
    <t>Įgyvendinti Tolygios kultūrinės raidos programos projektus, papildomas kultūros priemones</t>
  </si>
  <si>
    <t>02.01.01.11.04</t>
  </si>
  <si>
    <t>Organizuoti reprezentacinių prekių ir kultūros paslaugų įsigijimą</t>
  </si>
  <si>
    <t>Atminimo ženklų sukūrimo ir gamybos paslaugų</t>
  </si>
  <si>
    <t>2022 m. atliktas prizų (meno kūrinių) Šiaulių miesto kultūros ir meno premijų laureatams sukūrimo ir gamybos paslaugos viešasis pirkimas, pasirašyta sutartis, paslauga atlikta, už paslaugą atsiskaityta pagal pateiktą sąskaitą faktūrą.</t>
  </si>
  <si>
    <t>02.01.04.</t>
  </si>
  <si>
    <t>Užtikrinti kultūros paslaugų sklaidą ir prieinamumą gyventojams</t>
  </si>
  <si>
    <t>02.01.04.01</t>
  </si>
  <si>
    <t>Užtikrinti kultūros įstaigų veiklą</t>
  </si>
  <si>
    <t>Surengtų parodų</t>
  </si>
  <si>
    <t>2022 m. kultūros įstaigos surengė 71 parodą, iš jų: Šiaulių miesto kultūros centras „Laiptų galerija“ 30, Šiaulių dailės galerija 33, Šiaulių kultūros centras 8.</t>
  </si>
  <si>
    <t>Surengtų koncertų</t>
  </si>
  <si>
    <t>2022 m. kultūros įstaigos surengė 230 koncertų, iš jų: Šiaulių miesto kultūros centras „Laiptų galerija“ 71, Šiaulių dailės galerija 8, Šiaulių kultūros centras 69, Šiaulių miesto koncertinė įstaiga „Saulė“ 82.</t>
  </si>
  <si>
    <t>1.09.</t>
  </si>
  <si>
    <t>Surengtų renginių</t>
  </si>
  <si>
    <t>2022 m. kultūros įstaigos suorganizavo 1979 renginius, iš jų: Šiaulių miesto savivaldybės viešoji biblioteka 816, Šiaulių miesto kultūros centras „Laiptų galerija“ 205, Šiaulių dailės galerija 315, Šiaulių kultūros centras 547, koncertinė įstaiga „Saulė“ 96.</t>
  </si>
  <si>
    <t>2.01.</t>
  </si>
  <si>
    <t>Įgyvendintų projektų</t>
  </si>
  <si>
    <t>2022 m. kultūros įstaigos ir Turizmo informacijos centras įgyvendino 32 projektus, iš jų: Šiaulių miesto savivaldybės viešoji biblioteka 4, Šiaulių miesto kultūros centras „Laiptų galerija“ 4, Šiaulių dailės galerija 9, Šiaulių kultūros centras 10, Šiaulių  miesto koncertinė įstaiga „Saulė“ 2, Turizmo informacijos centras 3.</t>
  </si>
  <si>
    <t>2.03.</t>
  </si>
  <si>
    <t>Lankytojų (parodų, ekspozicijų viešosiose erdvėse, renginių, bibliotekos lankytojų)</t>
  </si>
  <si>
    <t>2022 m. kultūros įstaigos sulaukė 206958 lankytojų, iš jų: Šiaulių miesto savivaldybės viešoji biblioteka 131511, Šiaulių miesto kultūros centras „Laiptų galerija“ 10471, Šiaulių dailės galerija 54916, Šiaulių kultūros centras 10060.</t>
  </si>
  <si>
    <t>Žiūrovų (koncertų, spektaklių, renginių ir kt.)</t>
  </si>
  <si>
    <t>2022 m. kultūros įstaigos sulaukė 276484 žiūrovų, iš jų: Šiaulių miesto kultūros centras „Laiptų galerija“ 16228, Šiaulių miesto koncertinė įstaiga „Saulė“ 90231, Šiaulių kultūros centras  170025.</t>
  </si>
  <si>
    <t>Dalyvių / žiūrovų (edukacijų, festivalių, kino peržiūrų ir kt.)</t>
  </si>
  <si>
    <t>2022 m. kultūros įstaigos sulaukė 22332 dalyvių/žiūrovų, iš jų - 15466 edukacijų dalyvių: Šiaulių dailės galerija 3480 dalyvių/žiūrovų ir 4477 edukacijų dalyvių, Šiaulių miesto koncertinė įstaiga „Saulė“ 3386 dalyvių/žiūrovų ir  32 edukacijų dalyvių,  Šiaulių miesto savivaldybės viešoji biblioteka 7238 edukacijų dalyvių, Šiaulių kultūros centras 3647 edukacijų dalyvių, Šiaulių miesto kultūros centras „Laiptų galerija“ 72 edukacijų dalyvių.</t>
  </si>
  <si>
    <t>Šiaulių turizmo informacijos centro ir „Baltų kelio“ centro lankytojų</t>
  </si>
  <si>
    <t>2022 m. Šiaulių turizmo informacijos centras ir „Baltų kelio“ centras sulaukė 38348 lankytojų gyvai.</t>
  </si>
  <si>
    <t>Šiaulių turizmo informacijos centro ekskursijų dalyvių</t>
  </si>
  <si>
    <t>2022 m. Šiaulių turizmo informacijos centras surengė 268 ekskursijas, sulaukė 5678 ekskursijų dalyvių.</t>
  </si>
  <si>
    <t>Surengtų edukacijų</t>
  </si>
  <si>
    <t>2022 m. kultūros įstaigos ir Turizmo informacijos centras surengė 940 edukacijų, iš jų: Šiaulių miesto savivaldybės viešoji biblioteka 363, Šiaulių miesto kultūros centras „Laiptų galerija“ 81, Šiaulių dailės galerija 219, Šiaulių kultūros centras 241, Šiaulių miesto koncertinė įstaiga „Saulė“ 1, Turizmo informacijos centras 35.</t>
  </si>
  <si>
    <t>Dalyvių (plenerų, festivalių, edukacijų, renginių ir kt.)</t>
  </si>
  <si>
    <t>2022 m. kultūros įstaigos sulaukė 16321 renginių dalyvių, iš jų: Šiaulių miesto kultūros centras „Laiptų galerija“ 714, Šiaulių kultūros centras 15291, Šiaulių miesto koncertinė įstaiga „Saulė“ 316.</t>
  </si>
  <si>
    <t>02.01.04.08</t>
  </si>
  <si>
    <t>Aktualizuoti Šiaulių kultūros centrą (Aušros al. 31)</t>
  </si>
  <si>
    <t>Patvirtintas galutinis mokėjimo prašymas</t>
  </si>
  <si>
    <t>Teikti 2 prašymai dėl papildomo finansavimo skyrimo, siekiant panaudoti Šiaulių regiono likutį. Gauti du neigiami atsakymai iš LR Kultūros ministerijos. VšĮ CPVA pateiktas galutinis mokėjimo prašymas. Vis dar negautas atsakymas iš CPVA dėl tinkamų deklaruoti darbų apimčių. Paprašyta pateikti papildomą tarpinį mokėjimo prašymą bei pakartotinai pateikti galutinį mokėjimo prašymą.</t>
  </si>
  <si>
    <t>1.08.</t>
  </si>
  <si>
    <t>02.01.04.09</t>
  </si>
  <si>
    <t>Atnaujinti (modernizuoti) Šiaulių miesto koncertinę įstaigą „Saulė" (Tilžės g. 140), rekonstruoti pastatą ir pastatyti priestatą</t>
  </si>
  <si>
    <t>Atlikta planuotų darbų</t>
  </si>
  <si>
    <t>2022 m. baigti koncertinės įstaigos „Saulė“ priestato statybos darbai. Priestate įrengtos patalpos repeticijoms, artistų persirengimo ir poilsio kambariai, grimo kambariai, orkestro kambarys. Praplėsta scena iki beveik  250 kvadratinių metrų, įsigyti ir sumontuoti baldai (rašomieji stalai, minkštasuoliai, dirigentui reikalingi baldai ir įranga, spintos, lentynos, konferencinis stalas, tribūna lektoriui, grimo kambarių baldai  ir kt.). Repeticijų patalpos  visiškai paruoštos kokybiškam kolektyvų darbui.</t>
  </si>
  <si>
    <t>2.02.</t>
  </si>
  <si>
    <t>02.01.04.10</t>
  </si>
  <si>
    <t>Atlikti Šiaulių miesto kultūros centro „Laiptų galerija" senojo pastato (P. Bugailiškio namas, Žemaitės g. 83) tvarkomuosius statybos darbus</t>
  </si>
  <si>
    <t>2022 m. rangos darbų konkursas vyko keletą kartų, nes neatsirado tiekėjų, norinčių dalyvauti konkurse. Rangos darbų sutartis pasirašyta 2022-12-30. Parengtas techninis projektas. Rangos darbų 2022 m. neatlikta.</t>
  </si>
  <si>
    <t>1.02.</t>
  </si>
  <si>
    <t>02.01.04.11</t>
  </si>
  <si>
    <t>Atnaujinti (modernizuoti) Šiaulių dailės galerijos pastatą (Vilniaus g. 245)</t>
  </si>
  <si>
    <t>Vykdomi Šiaulių Dailės galerijos pastato Vilniaus g. 245, Šiauliai, paprastojo remonto darbai. Sutartis pasirašyta 2022-07-27. Nuo 2022-11-15 iki 2023-03-15  - technologinė pertrauka dėl darbų, kurių negalima atlikti dėl oro sąlygų žiemos sezonu.</t>
  </si>
  <si>
    <t>02.01.04.12</t>
  </si>
  <si>
    <t>Atlikti Šiaulių kultūros centro Rėkyvos kultūros namų fasado ir vidaus patalpų remontą</t>
  </si>
  <si>
    <t>Rangos darbų sutartis pasirašyta 2022-11-15, parengtas techninis projektas, pradėti vykdyti rangos darbai.</t>
  </si>
  <si>
    <t>02.01.04.13</t>
  </si>
  <si>
    <t>Pritaikyti patalpas Vilniaus g. 213 turizmo paslaugų plėtrai</t>
  </si>
  <si>
    <t>Įsigyta baldų komplektų</t>
  </si>
  <si>
    <t>Įsigyti nauji baldai  įstaigos veiklai.</t>
  </si>
  <si>
    <t>02.02.</t>
  </si>
  <si>
    <t>Stiprinti miesto įvaizdį plėtojant turizmo sektorių</t>
  </si>
  <si>
    <t>Turistų ir lankytojų skaičiaus Šiaulių mieste augimas</t>
  </si>
  <si>
    <t>Įvykdyta miesto įvaizdžio rinkodaros strategijos gairių priemonių</t>
  </si>
  <si>
    <t>02.02.02.</t>
  </si>
  <si>
    <t>Vystyti Šiaulių miesto turizmo sektorių</t>
  </si>
  <si>
    <t>02.02.02.01</t>
  </si>
  <si>
    <t>Įgyvendinti projektą „Savivaldybes jungiančios turizmo informacinės infrastruktūros plėtra Šiaulių regione“</t>
  </si>
  <si>
    <t>Įrengti ženklinimo infrastruktūros objektai</t>
  </si>
  <si>
    <t>2022 m. gruodžio mėn. įrengti du taktiliniai žemėlapiai Šiaulių mieste (Prisikėlimo aikštėje ir prie "Auksinio berniuko").</t>
  </si>
  <si>
    <t>02.02.02.02</t>
  </si>
  <si>
    <t>Įgyvendinti projektą „Baltų kultūros pažinimo skatinimas ir žinomumo apie tarptautinį kultūros kelią „Baltų kelias“ didinimas“</t>
  </si>
  <si>
    <t>Įgyvendinta projekto veiklų</t>
  </si>
  <si>
    <t>2022 m. įgyvendintos projekto veiklos: įrengta multifunkcinė erdvė; parengta 12 publikacijų, 1 pranešimas spaudai; sukurtos 4 edukacinės programos, surengtos 27 edukacijos; suorganizuotas Turizmo forumas „Lietuvos ir Latvijos bendradarbiavimas turizmo srityje: geroji patirtis ir plėtros galimybės“  Joniškyje; suorganizuotas infoturas po Latvijos Žiemgalos ir Kuržemės regionus Lietuvos Žiemgalos ir Sėlos turizmo paslaugų darbuotojams.</t>
  </si>
  <si>
    <t>02.02.02.03</t>
  </si>
  <si>
    <t>Įgyvendinti projektą „Saulės kelias“</t>
  </si>
  <si>
    <t>2022 m. įgyvendintos projekto veiklos: įsigyti baldai lankytojų aptarnavimo salei; sumontuota saugos stebėjimo sistema; įsigyta 360° nuotraukų; sukurtas VR filmukas; suorganizuoti mokymai turizmo verslo atstovams; suorganizuoti skaitmeninės rinkodaros mokymai; įsigyta reprezentacinių priemonių su logotipais; suorganizuotos kūrybinės dirbtuvės „Vasaros saulėgrįža“; atliktas vizualinio meninio objekto viešasis pirkimas.</t>
  </si>
  <si>
    <t>02.02.02.04</t>
  </si>
  <si>
    <t>Įgyvendinti miesto įvaizdžio rinkodaros strategijos gairių priemonių planą</t>
  </si>
  <si>
    <t>Įgyvendinta strategijos veiklų</t>
  </si>
  <si>
    <t>2022 m. Šiaulių turizmo informacijos centras atnaujino reprezentacinį Šiaulių stendą dalyvavimui parodose ir pristatė Šiaulių miesto turistinius išteklius ir galimybes tarptautinėje turizmo parodoje „Adventur 2022, Vilniuje, tarptautinėje parodoje „Vilniaus knygų mugė 2022“, „Jūros šventėje 2022“ Klaipėdoje; „Sostinės dienose 2022“  Vilniuje; „Šiaulių dienose 2022“, kurių metu suorganizuotas renginys „Šiaulių turizmo gatvė 2022“, kuriame turizmo išteklius pristatė 15 turizmo informacijos centrų, turizmo asociacijų iš Lietuvos ir Latvijos. Atliktos registracijos į  tarptautinę parodą „Adventur 2023“ (vyks 2023 m. sausio mėn., Vilnius) ir „Tarptautinę knygų mugę 2023“ (vyks 2023 m. vasario mėn., Vilnius).</t>
  </si>
  <si>
    <t>Įkurtų memorialinių ekspozicijų dailininkui G. Bagdonavičiui atminti</t>
  </si>
  <si>
    <t>2022 m. atlikti ekspozicijos įrengimo darbai dailininko G. Bagdonavičiaus memorialiniame name (Aušros al. 84). Ekspozicija išdėstyta 2 pastato aukšte 3 patalpose – buvusiose dailininko dirbtuvėse. Pagrindinis uždavinys kuriant ekspoziciją  – erdvę išnaudoti suderinant originalią aplinką, dailininko daiktus, sukurtus objektus ir šiuolaikišką, koncentruotą, įdomų informacijos pateikimą: skaitmeninės eksponatų kopijos (planšetėse). Įrengtoje ekspozicijoje stengtasi  atskleisti G. Bagdonavičiaus įvairiapusiškumą (pedagogas, dailininkas, grafikas, dizaineris, scenografas, projektuotojas, paveldo entuziastas, kraštotyrininkas, etnografas, fotografas, aktorius, iliustratorius, muziejininkas, kolekcininkas, neetatinis spaudos korespondentas, pianistas mėgėjas). 2023 m. pradžioje numatytas ekspozicijos pristatymas visuomenei.</t>
  </si>
  <si>
    <t>02.02.04.</t>
  </si>
  <si>
    <t>Vykdyti nekilnojamojo kultūros paveldo pažinimo sklaidą ir atgaivinimą</t>
  </si>
  <si>
    <t>02.02.04.02</t>
  </si>
  <si>
    <t>Organizuoti Europos paveldo dienų renginius</t>
  </si>
  <si>
    <t>Suorganizuotų Europos paveldo dienų renginių ciklų</t>
  </si>
  <si>
    <t>2022 m. rugsėjo 11-18 d. įvyko Europos paveldo dienų renginių savaitė  Šiauliuose. Surengta 14 renginių: 6 ekskursijos į Šv. apaštalų Petro ir Povilo katedrą, edukacinis stalo žaidimas „Šiaulių miesto istorijos“, interaktyvi ekskursija „Pagauk momentą“, pažintinis pasivaikščiojimas po Chaimo Frenkelio vilą ir parką, ekskursijos po Veclauskių namus-muziejų, atnaujintą Fotografijos muziejų, rekonstruotą Šiaulių istorijos muziejų, Žaliūkių malūnininko sodybą-muziejų.</t>
  </si>
  <si>
    <t>02.02.04.03</t>
  </si>
  <si>
    <t>Didinti religinio turizmo prieinamumą</t>
  </si>
  <si>
    <t>Įvykdytų religinio turizmo skatinimo programų</t>
  </si>
  <si>
    <t>2022 m. Šiaulių turizmo informacijos centras sukūrė religinį turizmo maršrutą „Malonių kelias“, einantį per Šiaulių miestą. 2022 m. balandžio 12-13 d. suorganizuotas infoturas 4 savivaldybėse Lietuvos kelionių organizatoriams ir gidams; 2022-06-01 suorganizuotas piligriminis žygis Šiaulių Šv. Apaštalų Petro ir Pauliaus katedra - Kryžių kalnas („Malonių kelio“ maršruto Šiaulių atkarpa). Surengtas renginių ciklas „Bažnyčių naktys“ Šiauliuose (14 renginių).</t>
  </si>
  <si>
    <t>03.</t>
  </si>
  <si>
    <t>Aplinkos apsaugos programa</t>
  </si>
  <si>
    <t>03.01.</t>
  </si>
  <si>
    <t>Pagerinti aplinkos kokybę mieste, kurti darnaus vystymosi principais pagrįstą sveiką ir švarią gyvenamąją aplinką mieste</t>
  </si>
  <si>
    <t>Sutvarkytas komunalinių atliekų kiekis</t>
  </si>
  <si>
    <t>t</t>
  </si>
  <si>
    <t>03.01.01.</t>
  </si>
  <si>
    <t>Plėtoti ir tobulinti miesto komunalinių atliekų tvarkymo sistemą</t>
  </si>
  <si>
    <t>03.01.01.01</t>
  </si>
  <si>
    <t>Įgyvendinti komunalinių atliekų tvarkymą</t>
  </si>
  <si>
    <t>Sutvarkyta komunalinių atliekų</t>
  </si>
  <si>
    <t>03.01.01.01.05</t>
  </si>
  <si>
    <t>Administruoti vietinę rinkliavą už atliekų tvarkymą (ŠRATC)</t>
  </si>
  <si>
    <t>Surinkta rinkliavos</t>
  </si>
  <si>
    <t>Iš vietinės gyventojų rinkliavos už komunalines atliekas apmokama Všį Šiaulių regiono atliekų tvarkymo centrui už rinkliavos administravimą.</t>
  </si>
  <si>
    <t>03.01.01.01.06</t>
  </si>
  <si>
    <t>Surinkti komunalines atliekas iš atliekų turėtojų</t>
  </si>
  <si>
    <t>Surinkta komunalinių atliekų</t>
  </si>
  <si>
    <t>Iš vietinės gyventojų rinkliavos už komunalines atliekas apmokama Všį Šiaulių regiono atliekų tvarkymo centrui už atliekų surinkimą.</t>
  </si>
  <si>
    <t>Įgyvendintas bandomasis maisto-virtuvės atliekų surinkimo iš daugiabučių namų Šiaulių mieste projektas</t>
  </si>
  <si>
    <t>Projekto metu per 2022 m. surinkta 37,06 t maisto atliekų iš daugiabučių namų.</t>
  </si>
  <si>
    <t>03.01.01.01.07</t>
  </si>
  <si>
    <t>Šalinti (apdoroti) komunalines atliekas</t>
  </si>
  <si>
    <t>Sutvarkyta komunalinių atliekų (pašalinta/apdorota)</t>
  </si>
  <si>
    <t>Iš vietinės gyventojų rinkliavos už komunalines atliekas apmokama Všį Šiaulių regiono atliekų tvarkymo centrui už atliekų apdorojimą.</t>
  </si>
  <si>
    <t>03.01.01.02</t>
  </si>
  <si>
    <t>Kompensuoti fiziniams asmenims asbesto turinčių gaminių atliekų šalinimą</t>
  </si>
  <si>
    <t>Kompensuota už asbesto gaminių šalinimą</t>
  </si>
  <si>
    <t>Asbesto turinčių gaminių atliekas individualių namų gyventojai ir visuomeninės paskirties pastatų savininkai (naudotojai) gali nemokamai sutvarkyti Šiaulių regiono nepavojingų atliekų sąvartyne.</t>
  </si>
  <si>
    <t>1.11.</t>
  </si>
  <si>
    <t>Surinkta asbesto</t>
  </si>
  <si>
    <t>Dėl iš Lietuvos Respublikos aplinkos ministerijos Aplinkos projektų valdymo agentūros gautos dotacijos surinktas dvigubai didesnis asbesto kiekis nei planuotas.</t>
  </si>
  <si>
    <t>03.01.01.03</t>
  </si>
  <si>
    <t>Įgyvendinti projektą „Komunalinių atliekų rūšiuojamojo surinkimo infrastruktūros plėtra Šiaulių regione"</t>
  </si>
  <si>
    <t>Įrengta konteinerių aikštelių</t>
  </si>
  <si>
    <t>2021-08-06 nutraukta 2018-10-15 pasirašyta sutartis Nr. S-335 „Pusiau požeminių konteinerių įsigijimas bei pusiau požeminių konteinerių aikštelių Šiaulių miesto savivaldybės teritorijoje įrengimo statybos projekto parengimas ir rangos darbai“. Paskelbus naują pirkimą, sutartis su tiekėju pasirašyta 2022-09-08.</t>
  </si>
  <si>
    <t>Įrengta didelio gabarito atliekų surinkimo aikštelė (DGSA) su pakartotiniam panaudojimui tinkamų atliekų surinkimu</t>
  </si>
  <si>
    <t>2022 m.: Lėšos nepanaudotos, nes nėra dar baigtas "Šiaulių DGSA rengimo projekto parengimas" bei nepradėti įrengimo darbai, kadangi užtruko viešųjų pirkimų procedūros.</t>
  </si>
  <si>
    <t>03.01.01.04</t>
  </si>
  <si>
    <t>Įgyvendinti projektą  „Rūšiuojamuoju būdu surinktų maisto/virtuvės atliekų apdorojimo infrastruktūros sukūrimas Šiaulių regione"</t>
  </si>
  <si>
    <t>Parengta techninė dokumentacija</t>
  </si>
  <si>
    <t>2022-09-09 buvo paskelbtas „Šiaulių regiono maisto ir virtuvės atliekų apdorojimo technologinių įrenginių projektavimo, gamybos, tiekimo ir įrengimo Šiaulių regiono nepavojingų atliekų sąvartyno teritorijoje“ viešasis pirkimas.
Susipažinimo su pasiūlymais terminas buvo suplanuotas 2022-10-18. Gavus suinteresuoto tiekėjo pretenziją ir pripažinus ją iš dalies pagrįsta, 2022-10-04 viešojo pirkimo komisijos sprendimu pirkimo procedūros nutrauktos.
Konkurso sąlygos buvo patikslintos, pakartotinai suderintos su APVA, 2022-12-27 – 2022-12-30 įvykdyta rinkos konsultacija. 2022-12-30 pirkimo dokumentai patvirtinti ir paskelbti CVP IS, VPT skelbimą patvirtino ir išsiuntė paskelbimui į TED. Pasiūlymų pateikimo terminas – 2023 m. vasario 10 d.</t>
  </si>
  <si>
    <t>Įsigyta įranga</t>
  </si>
  <si>
    <t>kompl.</t>
  </si>
  <si>
    <t>Įrengta priėmimo / laikymo zona</t>
  </si>
  <si>
    <t>03.01.02.</t>
  </si>
  <si>
    <t>Įgyvendinti želdynų ir želdinių apsaugos bei tvarkymo priemones</t>
  </si>
  <si>
    <t>03.01.02.01</t>
  </si>
  <si>
    <t>Parengti ir įgyvendinti želdynų pertvarkymo projektus, inventorizuoti miesto želdynus</t>
  </si>
  <si>
    <t>Parengta želdynų dokumentacija (INVENTORIZACIJA)</t>
  </si>
  <si>
    <t>1. Metų pabaigoje įvykdytas pirkimas Želdynų ir želdinių informacinės sistemos sukūrimas. 2. Buvo atlikta teritorijos, esančios prie Traidenio g., Lizdeikos g., Žemynos g., augančių želdinių inventorizacija. Buvo įvertinti teritorijoje augantys medžiai, pateikta inventorizacijos medžiaga.</t>
  </si>
  <si>
    <t>Parengti želdynų projektai ir atlikti darbai</t>
  </si>
  <si>
    <t>03.01.02.03</t>
  </si>
  <si>
    <t>Vykdyti želdinių priežiūrą (tręšimas, genėjimas, kaštonų lapų tvarkymas) ir sodinti naujus želdinius prie miesto gatvių, parkuose ir skveruose</t>
  </si>
  <si>
    <t>Užtikrinta želdinių priežiūra (genėjimas, atžalų šalinimas, kelmų sutvarkymas, laistymas, tręšimas, kaštonų lapų surinkimas), pagal skirtą finansavimą</t>
  </si>
  <si>
    <t>Palaistyti 2 026 medžiai, patręšta 1 580 medžių, pašalintos nulaužtos šakos nuo 20 medžių, pašalinta atžalų nuo 162 medžių, atjauninta, nukarpyta 8 649 m gyvatvorių, nuravėta 3 159 m gyvatvorių, krūmų, persodinta 14 medžių, iškirsta 21 m2 krūmų, įrengta 1 kamieno apsauga, 9 medžiams įtvirtinti kuolai.</t>
  </si>
  <si>
    <t>Sunaikinta Sosnovskio barščių</t>
  </si>
  <si>
    <t>m2</t>
  </si>
  <si>
    <t>Sosnovskio barščiai buvo naikinami – 31120 m2 plote. Buvo vykdomi intensyvūs naikinimo darbai taikant cheminį apdorojimą, iškasimą ir nupjovimą.</t>
  </si>
  <si>
    <t>1.12.</t>
  </si>
  <si>
    <t>Pasodinta želdinių</t>
  </si>
  <si>
    <t>Nupirkta ir pasodinta 218 vnt. želdinių.</t>
  </si>
  <si>
    <t>Nugenėta medžių</t>
  </si>
  <si>
    <t>Nugenėti 3 197 medžiai.</t>
  </si>
  <si>
    <t>03.01.03.</t>
  </si>
  <si>
    <t>Įgyvendinti aplinkos monitoringo, prevencines, aplinkos kokybės gerinimo priemones</t>
  </si>
  <si>
    <t>03.01.03.04</t>
  </si>
  <si>
    <t>Vykdyti lietaus nuotekų sistemos griovių tvarkymą</t>
  </si>
  <si>
    <t>Sutvarkyta lietaus sistemos griovių</t>
  </si>
  <si>
    <t>Valytos pralaidos (Talkšos ežero prieigose; Voveriškių g., Lazdynų g., Skroblų g., Uldukų g., Spyglių g., Bielskio g.; SB Lelija, SB Vyturys, Pakruojo g., Garažų g. Ragainės g., Šeduvos ir kt.), ardytos bebrų užtvankos (Žuvininkų g., Mažvydo, Eten-Leuro g., Šeduvos g., Salduvė), atlikti upelių (Kulpė) gilinimo darbai. Panaudotos visos griovių valymui planuotos lėšos.</t>
  </si>
  <si>
    <t>Atlikta griovių inventorizacija, kadastriniai matavimai įregistravimas NTR</t>
  </si>
  <si>
    <t>pasl.</t>
  </si>
  <si>
    <t>Lėšos, skirtos griovių inventorizacijai bus panaudotos, kai bus sudaryta inventorizavimo paslaugų sutartis.</t>
  </si>
  <si>
    <t>03.01.03.05</t>
  </si>
  <si>
    <t>Įgyvendinti projektą „Šiaulių miesto paviršinių nuotekų tvarkymo sistemos inventorizavimas, paviršinių nuotekų tvarkymo infrastruktūros rekonstravimas ir plėtra"</t>
  </si>
  <si>
    <t>Naujo paviršinių nuotekų tinklo nutiesimas Pailių g., Rėzos g., Žilvičių g. pralaida</t>
  </si>
  <si>
    <t>m</t>
  </si>
  <si>
    <t>Apmokėta skola iš 2021 m. už lietaus surinkimo šulinėlių įrengimą tarp Rėzos g. 16 ir 18.</t>
  </si>
  <si>
    <t>Sklypų prijungtų prie magistralinių paviršinių nuotekų tinklų</t>
  </si>
  <si>
    <t>sk.</t>
  </si>
  <si>
    <t>03.01.03.07</t>
  </si>
  <si>
    <t>Vykdyti geriamojo vandens tiekimo ir nuotekų tvarkymo infrastruktūros plėtrą</t>
  </si>
  <si>
    <t>Baigta tvarkyti projekto dokumentacija ir finansiniai srautai</t>
  </si>
  <si>
    <t>Užbaigtas projekto įgyvendinimas bei sumokėtos sulaikytos lėšos.</t>
  </si>
  <si>
    <t>03.01.03.08</t>
  </si>
  <si>
    <t>Užtikrinti Šiaulių municipalinės aplinkos tyrimų laboratorijos veiklą</t>
  </si>
  <si>
    <t>Finansuota įstaiga (Šiaulių municipalinė aplinkos tyrimų laboratorija)</t>
  </si>
  <si>
    <t>Atlikta matavimams naudojamų prietaisų metrologinė patikra, dujų analizatoriams kalibruoti įsigytos kalibracinės dujos, cheminiai reagentai, atnaujinta laboratorinė įranga, atliktas prietaisų remontas, atnaujinta programinė įranga, apmokėtos kitos paslaugos. Finansuota įstaiga.</t>
  </si>
  <si>
    <t>Parengta stebėsenos ataskaita</t>
  </si>
  <si>
    <t>Parengta Šiaulių miesto oro, paviršinių vandens telkinių, aplinkos triukšmo stebėsenos ataskaita.</t>
  </si>
  <si>
    <t>03.01.03.09</t>
  </si>
  <si>
    <t>Įgyvendinti aplinkos oro kokybės valdymo programos priemones, vykdyti aplinkos kokybės stebėseną</t>
  </si>
  <si>
    <t>Išvalyta pavasarinio purvo (dėl pakeltosios taršos  - gatvių sąšlavos)</t>
  </si>
  <si>
    <t>Siekiant sumažinti aplinkos oro taršą kietosiomis dalelėmis (KD10), buvo nuvalyta gatvių su asfalto danga važiuojamoji dalis ir iš įvairių Šiaulių miesto teritorijų išvežta 230,59 t gatvių valymo sąšlavų. 
Įvykdyti požeminio vandens ir dirvožemio stebėsenos darbai, parengta ataskaita.</t>
  </si>
  <si>
    <t>03.01.03.10</t>
  </si>
  <si>
    <t>Tvarkyti užterštas teritorijas Šiaulių mieste</t>
  </si>
  <si>
    <t>Sutvarkyta užterštų teritorijų (4463, 4464,11555, 11556, 11557)</t>
  </si>
  <si>
    <t>ha</t>
  </si>
  <si>
    <t>Išvalytas užterštas gruntas (cheminės oksidacijos būdu) - 156 500 m3.  Išvalytas užteršto žemės paviršiaus gruntas  biovalymo būdu - 3 390 m3. Vykdytas valymo monitoringas.  Vykdyta valymo darbų kokybės kontrolė.  Peržiūrėta valymo darbų sutarties kaina dėl infliacijos, dėl to kreiptasi į LR Aplinkos ministeriją  ir LR Aplinkos projektų valdymo agentūrą dėl projekto papildomo finansavimo (72 799,92 Eur.) ir gautas pritarimas papildomam finansavimui iki  69 159,92 Eur.</t>
  </si>
  <si>
    <t>03.01.03.11</t>
  </si>
  <si>
    <t>Likviduoti pavojingus radinius ir ekologinių avarijų padarinius</t>
  </si>
  <si>
    <t>Likviduota radinių ir avarijų</t>
  </si>
  <si>
    <t>Apmokama Rėkyvos ugniagesių savanorių draugijai už gaisrų prevenciją - Rėkyvos ežero pakrančių stebėjimą, UAB „Žalvaris“ už pavojingų atliekų surinkimą ir utilizavimą, Šiaulių priešgaisrinei gelbėjimo valdybai perkama priemonių.</t>
  </si>
  <si>
    <t>03.01.03.13</t>
  </si>
  <si>
    <t>Vykdyti gyvenamuosiuose rajonuose, viešosiose vietose šunų išvedžiojimo aikštelių, kačių šėrimo vietų ir kitos gyvūnų priežiūrai skirtos įrangos įrengimą, remontą ir sanitarinę priežiūrą</t>
  </si>
  <si>
    <t>Suremontuotų ir prižiūrėtų šunų vedžiojimo ir kačių šėrimo aikštelių</t>
  </si>
  <si>
    <t>Atliekama reguliari šunų išvedžiojimo aikštelių priežiūra, remonto ir modernizavimo darbai, kačių šėrimo vietų priežiūra.</t>
  </si>
  <si>
    <t>03.01.07.</t>
  </si>
  <si>
    <t>Vykdyti visuomenės švietimo ir mokymo aplinkosaugos klausimais priemones</t>
  </si>
  <si>
    <t>03.01.07.02</t>
  </si>
  <si>
    <t>Remti nevyriausybinių organizacijų aplinkosauginio švietimo projektų įgyvendinimą</t>
  </si>
  <si>
    <t>Paremta projektų</t>
  </si>
  <si>
    <t>Aplinkosauginio švietimo konkurse dalyvavo 5 organizacijos, tačiau viena organizacija neatitiko reikalavimų. Finansavimas skirtas 4 aplinkosauginio švietimo projektams.</t>
  </si>
  <si>
    <t>03.01.07.03</t>
  </si>
  <si>
    <t>Organizuoti aplinkosauginius renginius, vykdyti visuomenės švietimą ir informavimą, įsigyti aplinkosauginius informacinius ir kt. leidinius</t>
  </si>
  <si>
    <t>Įsigyta leidinių</t>
  </si>
  <si>
    <t>Užsakyta 7 žurnalo „Miškai“ ir 10 savaitraščio „Žaliasis pasaulis“ prenumeratų. Šios prenumeratos skirtos Šiaulių miesto savivaldybės viešosios bibliotekos filialams, Šiaulių apskrities Povilo Višinskio viešajai bibliotekai, Šiaulių miesto savivaldybės administracijai ir Šiaulių miesto švietimo įstaigoms. Buvo įsigyta 11 knygų gamtos, atliekų mažinimo, klimato kaitos tema.</t>
  </si>
  <si>
    <t>Organizuoti renginiai (Žemės diena, Europos judumo savaitė)</t>
  </si>
  <si>
    <t>Organizuota Pasaulinė Žemės diena, Klimato savaitė.</t>
  </si>
  <si>
    <t>Įgyvendinta visuomenės švietimo ir informavimo priemonių</t>
  </si>
  <si>
    <t>Siekiant atkreipti visuomenės dėmesį į paukščius ir suteikti galimybę gyventojams stebėti jų gyvenimą, buvo organizuota akcija, sukuriant gyvenamąją vietą laukinėms antims. Pastatyti 2 ančių nameliai, kurie buvo įleisti Šiaulių miesto centrinio parko dviejuose tvenkinukuose. Šiaulių miesto savivaldybės internetinėje svetainėje kiekvieną mėnesį yra skelbiama informacija apie praėjusio mėnesio aplinkos oro kokybę; viešinami paviršinio vandens atlikti tyrimai.</t>
  </si>
  <si>
    <t>Paremtas egzotinių gyvūnų kampelis</t>
  </si>
  <si>
    <t>03.01.09.</t>
  </si>
  <si>
    <t>Skatinti atsinaujinančių išteklių Šiaulių mieste naudojimą</t>
  </si>
  <si>
    <t>03.01.09.01</t>
  </si>
  <si>
    <t>Parengti atsinaujinančių išteklių energijos naudojimą Šiaulių mieste planą</t>
  </si>
  <si>
    <t>Parengtas atsinaujinančių išteklių energijos naudojimo planas</t>
  </si>
  <si>
    <t>Pasirašyta sutartis 2022-01-21 SŽ-90 su Nomine Consult. Tačiau 2022-07-13 pasirašytas pap. susitarimas SŽ-1108 dėl paslaugų termino pratęsimo 2 mėnesiams. Parengtas atsinaujinančių išteklių energijos naudojimo planas (derinamas LR Energetikos ministerijoje)</t>
  </si>
  <si>
    <t>03.01.09.02</t>
  </si>
  <si>
    <t>Įsigyti iš saulės parkų nutolusios saulės elektrinės dalį</t>
  </si>
  <si>
    <t>Sudaryta sutartis dėl nutolusios saulės elektrinės iš saulės parkų įsigijimo</t>
  </si>
  <si>
    <t>2022-12-29 sudaryta nutolusios saulės elektrinės įrengimo ir jos priežiūros paslaugų sutartis.</t>
  </si>
  <si>
    <t>04.</t>
  </si>
  <si>
    <t>Miesto infrastruktūros objektų priežiūros, modernizavimo ir plėtros programa</t>
  </si>
  <si>
    <t>04.01.</t>
  </si>
  <si>
    <t>Modernizuoti miesto infrastruktūrą, užtikrinti  komunalinių paslaugų teikimą, infrastruktūros objektų  priežiūrą ir remontą</t>
  </si>
  <si>
    <t>Užtikrinti miesto priežiūrą, švarą, apšvietimą pagal skirtą finansavimą</t>
  </si>
  <si>
    <t>04.01.01.</t>
  </si>
  <si>
    <t xml:space="preserve">Vykdyti miesto infrastruktūros objektų priežiūrą, einamąjį remontą </t>
  </si>
  <si>
    <t>04.01.01.01</t>
  </si>
  <si>
    <t>Tvarkyti aplinką ir vykdyti infrastruktūros objektų priežiūrą ir remontą</t>
  </si>
  <si>
    <t>Sutvarkyta aplinka (žaliųjų plotų, gėlynų, medžių kirtimas, benamių gyvūnų priežiūra, kapinių priežiūra); užtikrinta gatvių apšvietimo ir reguliavimo, sanitarinių paslaugų, gatvių, šaligatvių, aikštelių, vaikų žaidimo aikštelių, takų priežiūros ir remonto paslaugos</t>
  </si>
  <si>
    <t>Miesto komunalinio ūkio priežiūra: žvyruotų gatvių greideriavimas; kelių dangos ženklinimas; eismo reguliavimo, saugių eismo priemonių diegimas, kryptinio apšvietimo įrengimas</t>
  </si>
  <si>
    <t>Miesto autobusų stoginių įrengimas</t>
  </si>
  <si>
    <t>Metalinių garažų teritorijos sutvarkymas</t>
  </si>
  <si>
    <t>Šventinio apšvietimo dekoracijos ,,Saulutė"</t>
  </si>
  <si>
    <t>04.01.01.01.01</t>
  </si>
  <si>
    <t>Lėšos, skirtos Medelyno seniūnijai tvarkyti</t>
  </si>
  <si>
    <t>Tvarkyti medžius (kirsti /genėti), pastatyti Kalėdų eglę, įsigyti smulkių priemonių seniūnijai</t>
  </si>
  <si>
    <t>04.01.01.01.02</t>
  </si>
  <si>
    <t>Lėšos, skirtos Rėkyvos seniūnijai tvarkyti</t>
  </si>
  <si>
    <t>04.01.01.01.07</t>
  </si>
  <si>
    <t>Valyti miesto gatves</t>
  </si>
  <si>
    <t>Prižiūrėti gatvių ploto</t>
  </si>
  <si>
    <t>Barstyti skaldos atsijų ir druskų mišiniu</t>
  </si>
  <si>
    <t>Barstyti šlapiųjų druskų mišiniu</t>
  </si>
  <si>
    <t>Prižiūrimas gatvių ilgis (vasarą)</t>
  </si>
  <si>
    <t>04.01.01.01.08</t>
  </si>
  <si>
    <t>Valyti šaligatvius</t>
  </si>
  <si>
    <t>Prižiūrėti šaligatvius, takus, laiptus, aikštes ir kitas viešąsias teritorijas</t>
  </si>
  <si>
    <t>Barstyti slidumą mažinančiomis priemonėmis žiemą</t>
  </si>
  <si>
    <t>Prižiūrėtų šiukšliadėžių</t>
  </si>
  <si>
    <t>04.01.01.01.10</t>
  </si>
  <si>
    <t>Tvarkyti žaliuosius plotus</t>
  </si>
  <si>
    <t>Prižiūrėtų žaliųjų plotų</t>
  </si>
  <si>
    <t>Apmokama už miesto žaliųjų plotų, Centrinio parko, Lieporių parko ir Saulės laikr. aikštės priežiūrą. Visos lėšos  panaudotos.</t>
  </si>
  <si>
    <t>04.01.01.01.11</t>
  </si>
  <si>
    <t>Įrengti ir prižiūrėti gėlynus, tvarkyti medžius</t>
  </si>
  <si>
    <t>Prižiūrėtų gėlynų plotas</t>
  </si>
  <si>
    <t>Pasodinta gėlių</t>
  </si>
  <si>
    <t>Įrengta naujų gėlynų</t>
  </si>
  <si>
    <t>Pagal projektus įrengti gėlių ir dekoratyviųjų augalų plotai perimti nuolatinei priežiūrai.</t>
  </si>
  <si>
    <t>Nukirsta medžių</t>
  </si>
  <si>
    <t>04.01.01.01.12</t>
  </si>
  <si>
    <t>Tvarkyti miestą pagal sanitarinius reikalavimus</t>
  </si>
  <si>
    <t>Garažų teritorijų sutvarkymas</t>
  </si>
  <si>
    <t>Pastatyta konteinerių</t>
  </si>
  <si>
    <t>Apmokame už sanitarinį miesto tvarkymą - atliekų išvežimą iš viešųjų erdvių, konteinerių pastatymą, šakų išvežimą.</t>
  </si>
  <si>
    <t>04.01.01.01.13</t>
  </si>
  <si>
    <t>Gaudyti, laikyti benamius gyvūnus</t>
  </si>
  <si>
    <t>Pagauta bešeimininkių gyvūnų</t>
  </si>
  <si>
    <t>Apmokame už bešeimininkių gyvūnų gaudymo, priežiūros paslaugas kasmėnesį po 3330 eur. Panaudotos visos lėšos. Pagauta 225 vnt. bešeimininkių gyvūnų  karantinuota 2575 vnt. kačių; karantinuota 840 vnt. šunų; atlikta 210 vnt. dechelmetizacija; atliktas 110 vnt. vakcinavimas; idiegta 26 vnt. mikroschemų; atlikta 17 vnt. eutanazija.</t>
  </si>
  <si>
    <t>04.01.01.01.14</t>
  </si>
  <si>
    <t>Apšviesti miesto gatves</t>
  </si>
  <si>
    <t>Aptarnaujama šviesos taškų (šviestuvų, prožektorių)</t>
  </si>
  <si>
    <t>Apmokame UAB Šiaulių gatvių apšvietimas už miesto apšvietimo ir šviesoforų valdymo, kelio ženklų priežiūros paslaugas. Panaudota 94,4 proc. planuotų lėšų.</t>
  </si>
  <si>
    <t>Valdoma šviesoforų</t>
  </si>
  <si>
    <t>Prižiūrima kelio ženklų</t>
  </si>
  <si>
    <t>04.01.01.01.15</t>
  </si>
  <si>
    <t>Apmokėti už elektros energiją (gatvių apšvietimui)</t>
  </si>
  <si>
    <t>Sunaudota elektros energijos miesto apšvietimui</t>
  </si>
  <si>
    <t>kw</t>
  </si>
  <si>
    <t>Apmokame UAB Šiaulių gatvių apšvietimas už elektros energijos sąnaudas. Panaudota 100 proc. planuotų lėšų. Trūksta asignavimų apmokėti už ženkliai 2022 m. pabrangusią elektros energiją.</t>
  </si>
  <si>
    <t>04.01.01.01.16</t>
  </si>
  <si>
    <t>Techniškai aptarnauti miesto renginius ir šventes</t>
  </si>
  <si>
    <t>Aptarnauta švenčių, renginių (WC statymas, laužų paruošimas ir kt.)</t>
  </si>
  <si>
    <t>Apmokėta 48952,8 eur už šventines dekoracijas ,,Saulutė" (skola iš 2021 m.) bei kitos išlaidos už wc (biotualetus). Panaudota 98,9 proc. planuotų lėšų.</t>
  </si>
  <si>
    <t>04.01.01.01.17</t>
  </si>
  <si>
    <t>Eksploatuoti ir prižiūrėti miesto lietaus tinklus (už paviršines nuotekas)</t>
  </si>
  <si>
    <t>Apmokėta UAB ,,Šiaulių vandenys" už paviršines nuotekas</t>
  </si>
  <si>
    <t>m3</t>
  </si>
  <si>
    <t>Kiekvieną mėnesį apmokame po 6969 eur mokestį už paviršines nuotekas. Nuo 2022.07 mėnesio suma išaugo iki 8081,37 eur dėl perduotų paviršinių tinklų, nuo 2022.09  - 11595,07 eur. Panaudota 99,9 proc. planuotų lėšų.</t>
  </si>
  <si>
    <t>04.01.01.01.18</t>
  </si>
  <si>
    <t>Apmokėti už vandenį iš kolonėlių</t>
  </si>
  <si>
    <t>Sunaudota vandens kolonėlėse ir fontanuose</t>
  </si>
  <si>
    <t>Apmokama pagal faktiškai sunaudotą vandenį miesto kolonėlese (Pramonės - Bačiūnų ir Poilsio g.10) , wc parke, fontanuose. Nuo 2022.05.01 už fontanų vandenį ir elektrą lėšos iš 04 pr. perkeltos į 06 pr.</t>
  </si>
  <si>
    <t>04.01.01.01.19</t>
  </si>
  <si>
    <t>Prižiūrėti mokėjimo automatus (rinkliavos rinkimas)</t>
  </si>
  <si>
    <t>Prižiūrima mokėjimo parkomatų</t>
  </si>
  <si>
    <t>Apmokame už stovėjimo rinkliavos surinkimo paslaugą. Panaudota 99,8 proc. planuotų lėšų.</t>
  </si>
  <si>
    <t>2022 m.: Liko planuotos lėšos parkomatams įsigyti.</t>
  </si>
  <si>
    <t>Surinkta vietinės rinkliavos už parkavimą</t>
  </si>
  <si>
    <t>piniginė išraiška</t>
  </si>
  <si>
    <t>Už naudojimąsi mokamomis automobilių vietomis Šiaulių mieste surinkta 458,39 tūkst. eur rinkliavos.</t>
  </si>
  <si>
    <t>2022 m.: Viršytas planas - 130 proc., nes planuota surinkti 350 tūkst. eur , faktiškai surinkta 458,39 tūkst. eur.</t>
  </si>
  <si>
    <t>04.01.01.01.20</t>
  </si>
  <si>
    <t>Laidoti vienišus žmones</t>
  </si>
  <si>
    <t>Palaidota žmonių</t>
  </si>
  <si>
    <t>Paslauga atliekama pagal poreikį. Apmokėta už 13 žmonių palaidojimą.</t>
  </si>
  <si>
    <t>04.01.01.01.21</t>
  </si>
  <si>
    <t>Pervežti žuvusiųjų, mirusiųjų kūnus</t>
  </si>
  <si>
    <t>Pervežta žmonių palaikų</t>
  </si>
  <si>
    <t>Mirusių ar žuvusių Šiaulių miesto teritorijoje palaikų pervežimo ir laikino laikymo paslaugos atliekamos pagal poreikį.</t>
  </si>
  <si>
    <t>Palaikų palaikyta valandų</t>
  </si>
  <si>
    <t>val.</t>
  </si>
  <si>
    <t>04.01.01.01.22</t>
  </si>
  <si>
    <t>Prižiūrėti vaikų žaidimų aikšteles</t>
  </si>
  <si>
    <t>Prižiūrima sertifikuotų vaikų žaidimų aikštelių</t>
  </si>
  <si>
    <t>Panaudotos visos 100 proc. planuotų vaikų žaidimų aikštelių priežiūrai metinių lėšų, atvežta 600 kub.m smėlio į vaikų žaidimų aikšteles, remontuota ir atnaujinta 247 vnt. smėlio dėžių.
Įrengta Vilniaus g. bulvare vaikų žaidimų aikštelė už 15609 eur.</t>
  </si>
  <si>
    <t>04.01.01.01.23</t>
  </si>
  <si>
    <t>Atlikti kitus smulkius ar nenumatytus darbus</t>
  </si>
  <si>
    <t>Įrengta stoginių keleiviams miesto stotelėse</t>
  </si>
  <si>
    <t>Apmokėta 87,3 tūkst. eur 22 vnt. stoginių įrengimą, kiosko griovimo išlaidos 2,6 tūkst. eur, suoliukų remonto ir kitos išlaidos. Panaudota 99,8 proc. planuotų lėšų.</t>
  </si>
  <si>
    <t>Pakeista, suremontuota suoliukų</t>
  </si>
  <si>
    <t>Pakeista naujais suolais 16 vnt.; suremontuota 117 vnt. suoliukų; suremontuota 34 vnt. šiukšlių dėžių; perdažyta 434 vnt. suolų Šiaulių mieste.</t>
  </si>
  <si>
    <t>04.01.01.01.24</t>
  </si>
  <si>
    <t>Remontuoti gatvių duobes</t>
  </si>
  <si>
    <t>Užtaisyta miesto gatvių duobių išdaužų vietose</t>
  </si>
  <si>
    <t>Apmokame rangovui už patrulinių apžiūrų atlikimą ir duobių (įdubų) tvarkymą. Su freza duobių taisymas - apie 21251 m2, šaltuoju būdu su užmetimu (šaltuoju laikotarpiu) - apie 2500 m2. Iš viso sutvarkyta duobių 23751 kv.m.</t>
  </si>
  <si>
    <t>04.01.01.01.25</t>
  </si>
  <si>
    <t>Prižiūrėti gatves su žvyro danga  (lyginti ir naujomis medžiagomis užtaisyti dangos konstrukcijas)</t>
  </si>
  <si>
    <t>1.06.</t>
  </si>
  <si>
    <t>Prižiūrėti žvyruotas gatves (greideriavimas, užtaisymas naujomis medžiagomis išdaužų vietose)</t>
  </si>
  <si>
    <t>04.01.01.01.26</t>
  </si>
  <si>
    <t>Ženklinti kelio dangą</t>
  </si>
  <si>
    <t>Paženklinta gatvių su asfalto danga, pėsčiųjų perėjų, sankryžų</t>
  </si>
  <si>
    <t>Horizontalusis gatvių asfaltbetonio danga važiuojamosios dalies ženklinimas baltais ir geltonais kelio dažais.</t>
  </si>
  <si>
    <t>04.01.01.01.27</t>
  </si>
  <si>
    <t>Įrengti eismo reguliavimo ir saugaus eismo priemones</t>
  </si>
  <si>
    <t>Įrengta kelio ženklų, atitvarų, signalinių stulpelių</t>
  </si>
  <si>
    <t>Įrengti nauji įvairūs kelio ženklai prie miesto gatvių.</t>
  </si>
  <si>
    <t>Įrengta saugumo kalnelių</t>
  </si>
  <si>
    <t>Iškilioji perėja- greičio mažinimo kalnelis (įrengtas iš a/b) Lukšio g.; greičio mažinimo kalneliai Vyturių g. – 2 vnt. ir Panevėžio g. – 2 vnt; saugumo salelė Vyturių g.</t>
  </si>
  <si>
    <t>04.01.01.01.28</t>
  </si>
  <si>
    <t>Įrengti kryptinį apšvietimą</t>
  </si>
  <si>
    <t>Įrengta kryptinio apšvietimo atramų</t>
  </si>
  <si>
    <t>1.Pramonės g. ties sankryža su Ganyklų gatve
2.K. Kalinausko – Vilniaus g. per K. Kalinausko
3.Vilniaus gatvėje atkarpoje tarp Darželio ir Žalumynų gatvių
4.Metalistų g. ties namo Nr. 2
5.Ragainės g. – Kreivoji g. per Ragainės g.
6.K. Korsako gatvėje (maždaug ties K. Korsako g. Nr. 14)
7.Gytarių g. netoli „Pailių“ autobusų stotelės
8.Aušros al.-Valančiaus g. per Aušros al.
9.Vytauto – Ežero g. per  Vytauto g.
10.Vytauto – Ežero g. per  Vytauto g.</t>
  </si>
  <si>
    <t>04.01.01.05</t>
  </si>
  <si>
    <t>Remontuoti daugiabučių namų kiemų dangą</t>
  </si>
  <si>
    <t>Sutvarkyta, suremontuota planuotų einamaisiais metais kiemų įvažiavimų danga</t>
  </si>
  <si>
    <t>Remontuoti 173 daugiabučių namų kiemai, bendras suremontuotas plotas 17974,7 kv.m.</t>
  </si>
  <si>
    <t>04.01.02.</t>
  </si>
  <si>
    <t>Vykdyti Šiaulių miesto kapinių infrastruktūros plėtrą</t>
  </si>
  <si>
    <t>04.01.02.02</t>
  </si>
  <si>
    <t>Vykdyti kapinių teritorijoje esančios infrastruktūros tvarkymą ir priežiūrą</t>
  </si>
  <si>
    <t>Įdiegta kapinių skaitmeninė sistema</t>
  </si>
  <si>
    <t>Sutvarkyta takų, privažiavimų</t>
  </si>
  <si>
    <t>km</t>
  </si>
  <si>
    <t>Užtikrinta visų miesto kapinių priežiūra (administravimas, vandens vežimas, atliekų išvežimas ir kt.)</t>
  </si>
  <si>
    <t>Apmokama už Šiaulių miesto kapinių (Ginkūnų, Donelaičio ir kitų) priežiūrą. Panaudota 99,9 proc. planuotų lėšų.</t>
  </si>
  <si>
    <t>04.01.02.03</t>
  </si>
  <si>
    <t>Vykdyti kolumbariumo statybą ir priežiūrą</t>
  </si>
  <si>
    <t>Įgyvendinta kolumbariumo statyba</t>
  </si>
  <si>
    <t>Užtikrinta Kolumbariumo priežiūra (kolumbariumo ir takų valymas)</t>
  </si>
  <si>
    <t>04.01.02.04</t>
  </si>
  <si>
    <t>Vykdyti Daušiškių kapinių statybos ir infrastruktūros įrengimo darbus</t>
  </si>
  <si>
    <t>Įgyvendinti Daušiškių kapinių II etapo įrengimo darbai (paviršinių nuotekų tinklai, kapinių nusausinimas, vandentiekio tinklai, buitinių nuotekų tinklai)</t>
  </si>
  <si>
    <t>04.01.04.</t>
  </si>
  <si>
    <t>Sutvarkyti viešąsias erdves</t>
  </si>
  <si>
    <t>04.01.04.05</t>
  </si>
  <si>
    <t>Įgyvendinti projektą „Vilniaus gatvės pėsčiųjų bulvaro ir amfiteatro rekonstrukcija“</t>
  </si>
  <si>
    <t>Atlikta rangos darbų</t>
  </si>
  <si>
    <t>Baigti vykdyti fiziniai Vilniaus gatvės pėsčiųjų bulvaro ir amfiteatro rekonstrukcijos darbai, įrengtas fontanas „Paukščiai“.</t>
  </si>
  <si>
    <t>04.01.04.06</t>
  </si>
  <si>
    <t>Įgyvendinti projektą „Talkšos ežero pakrantės plėtra“</t>
  </si>
  <si>
    <t>Sukurtos arba atnaujintos atviros erdvės mieste</t>
  </si>
  <si>
    <t>Atlikti baigiamieji Talkšos ežero pakrantės ir automobilių stovėjimo aikštelės, įvažiavimo ir šaligatvio įrengimo darbai, įvykdytos darbų užbaigimo procedūros ir dokumentacija.</t>
  </si>
  <si>
    <t>04.01.04.07</t>
  </si>
  <si>
    <t>Įgyvendinti projektą „Viešųjų erdvių ir gyvenamosios aplinkos gerinimas teritorijoje, besiribojančioje su Draugystės prospektu, Vytauto gatve, P. Višinskio gatve ir Dubijos gatve"</t>
  </si>
  <si>
    <t>Išmokėti Draugystės pr. kvartalo ir P. Višinskio g. (nuo Stoties g. iki Vytauto g.) sulaikomi pinigai, baigtos P. Višinskio g. pridavimo procedūros. Vykdytos papildomo finansavimo gavimo procedūros.</t>
  </si>
  <si>
    <t>04.01.04.08</t>
  </si>
  <si>
    <t>Įgyvendinti projektą „P. Višinskio gatvės viešųjų erdvių pritaikymas jaunimo poreikiams“</t>
  </si>
  <si>
    <t>Galutinai atsiskaityta su aikštelės už amfiteatro rangovu, sumokėti sulaikyti pinigai P. Višinskio g. (nuo Vytauto g. iki Vilniaus g.) rangovui.</t>
  </si>
  <si>
    <t>04.01.04.09</t>
  </si>
  <si>
    <t>Įgyvendinti projektą „Šiaulių miesto centrinio ir Didždvario parkų bei jų prieigų sutvarkymas“</t>
  </si>
  <si>
    <t>Apmokėta rangovams už Centrinio parko III ir IV etapų baigtus darbus, Didždvario parko ir S. Lukauskio g.  vykdomus rangos darbus - išasfaltuota nauja asfalto danga, įrengtas trinkelių dangos šaligatvis, drenažas.</t>
  </si>
  <si>
    <t>04.01.04.10</t>
  </si>
  <si>
    <t>Įgyvendinti projektą „Aušros alėjos (nuo Žemaitės g. iki Varpo g.) viešųjų pastatų ir viešųjų erdvių prieigų rekonstrukcija"</t>
  </si>
  <si>
    <t>Aušros al. rangos darbai baigti, 2022 m. I ketv. Išmokėti sulaikyti pinigai rangovui.</t>
  </si>
  <si>
    <t>04.01.04.12</t>
  </si>
  <si>
    <t>Vykdyti vaizdo stebėjimo kamerų sistemos plėtrą</t>
  </si>
  <si>
    <t>Prijungtų UAB ,,Šiaulių gatvių apšvietimas" dispozicijoje esančių vaizdo stebėjimo kamerų prie savivaldybės administracijos valdomos vaizdo stebėjimo sistemos</t>
  </si>
  <si>
    <t>2022-10-31 pasirašyta Asmens duomenų bendrojo valdymo sutartis Nr. SŽ-1652 su UAB "Šiaulių gatvių apšvietimas", kurios pagrindu prie Šiaulių miesto savivaldybės administracijos valdomos vaizdo stebėjimo sistemos pajungtos 8 UAB "Šiaulių gatvių apšvietimas" dispozicijoje esančios vaizdo stebėjimo kameros. 2022-11-14 pasirašyta Vaizdo stebėjimo proceso poveikio asmens duomenų apsaugai vertinimo paslaugų pirkimo sutartis SŽ-1708.</t>
  </si>
  <si>
    <t>Viešųjų vietų vaizdo stebėjimo kamerų, kurioms užtikrinamas funkcionalumo tęstinumas</t>
  </si>
  <si>
    <t>III ketvirtyje apmokėtos pagal 2022-05-16 sutartį  Nr. SŽ-763 suteiktos  Administracinių nusižengimų informacinės sistemos optimizavimo paslaugos.  2022-09-07 pasirašyta Šiaulių miesto viešųjų vietų vaizdo stebėsenos kamerų vaizdo duomenų apdorojimo serverio, papildomos įrangos ir garantinės priežiūros pirkimo sutartis Nr. SŽ-1298, serveris pristatytas ir už paslaugas atsiskaityta  IV ketvirtyje: 2022-11-10 pasirašytas priėmimo-perdavimo aktas Nr. 3488-1, apmokėta sąskaita-faktūra Nr. 0016052 (21060,61 Eur). Taip pat pasirašyta Šiaulių miesto įrengtos viešųjų vietų vaizdo stebėjimo sistemos  nuolatinės priežiūros paslaugos pirkimo-pardavimo sutartis Nr. SŽ-1673 (2022-11-04) su UAB "Fima", pagal kurią užtikrintas 78 vaizdo stebėjimo kamerų techninė priežiūra. Pasirašyti perdavimo-priėmimo aktai už lapkričio- gruodžio mėnesius suteiktas priežiūros paslaugas, apmokėtos sąskaitos-faktūros: Nr. R0043175 (1401,60 eur), Nr. R0043254 (1612,07 Eur).</t>
  </si>
  <si>
    <t>Alėjų, pėsčiųjų takų, skverų, gatvių, kuriose įrengtos viešųjų vietų vaizdo stebėjimo kameros</t>
  </si>
  <si>
    <t>Vaizdo stebėjimo kameros pajungtos Amfiteatre Višinskio g. 36) I ketvirtyje. (2022-01-12 sutartis Nr. SŽ-46, perdavimo-priėmimo aktas Nr. 3441-1, sąskaita-faktūra Serija STS Nr. 0015739). Sąskaitą apmokėta.</t>
  </si>
  <si>
    <t>Įrengtų greičio matuoklių</t>
  </si>
  <si>
    <t>2022-11-24 pasirašyta Stacionaraus leistino greičio pažeidimų fiksavimo įrenginio ir pakaitinių vietų projektavimo, įrengimo darbų ir priežiūros paslaugų sutartis Nr. SŽ-1772 su UAB „Technologinių paslaugų sprendimai“.</t>
  </si>
  <si>
    <t>Pajungtų vaizdo stebėjimo kamerų</t>
  </si>
  <si>
    <t>Pajungtos 7 vaizdo stebėjimo kameros į ŠMSA vaizdo stebėjimo tinklą: 
3 vnt. - teritorijoje prie Lapės - 2022-02-28 sutartis Nr. SŽ-255, 2022-03-22 papildomas susitarimas Nr. SŽ-365, 2022-03-30 papildomas susitarimas Nr. SŽ-388, 2022-04-19 papildomas susitarimas Nr. 546, perdavimo-priėmimo aktas Nr. 3440-1, sąskaita-faktūra Serija Nr. 0015793;
2 vnt. - Tiesos g. ir 2 vnt. - Rasos g.  Kameros įrengtos pagal  Miesto ūkio ir aplinkos skyriaus vykdytą sutartį SŽ-793 (2021-07-02). Kamerų pajungimui prie ŠMSA vaizdo stebėjimo sistemos buvo naudojamos MKS įsigytos Digifort licencijos vaizdo stebėjimo kameromis.</t>
  </si>
  <si>
    <t>04.02.</t>
  </si>
  <si>
    <t>Užtikrinti subalansuotą miesto susisiekimo sistemos vystymą</t>
  </si>
  <si>
    <t>Vykdyti miesto susisiekimo sistemos plėtrą</t>
  </si>
  <si>
    <t>04.02.01.</t>
  </si>
  <si>
    <t>Tobulinti miesto vidaus susisiekimo sistemą</t>
  </si>
  <si>
    <t>04.02.01.01</t>
  </si>
  <si>
    <t>Vykdyti naujų magistralinių gatvių suprojektavimo ir nutiesimo, susisiekimo komunikacijų įrengimo, rekonstravimo ir remonto darbus</t>
  </si>
  <si>
    <t>Atlikta miesto gatvių, šaligatvių ir takų remonto darbų pagal skirtą finansavimą (Aerouosto g., Pramonės - Serbentų sankryža) ir kt.)</t>
  </si>
  <si>
    <t>Pradėti Aerouosto g. nuo Dubijos g. iki Lakūnų g. rekonstravimo darbai, suremontuota Tilžės - Pramonės sankryža paklojant ištisinį asfalto sluoksnį, atlikta Basanavičiaus g. nuo Vaidoto g. iki miesto ribos rekonstrukcija; užklotas naujas asfalto sluoksnis: Šalkauskio g., Vaisių g. , Gluosnių g., Varpo g., Salantų g.   baigta Žemaitės viaduko rekonstrukcija - apmokėta rangovui 87,2 tūkst. eur sulaikyti pinigai, baigti Tiesos g. ir Rasos g. kapitalinio remonto darbai. Apmokėta ESO už Radviliškio g. 87,6 tūkst. eur. Per kovo mėn. atlikti Vilkaviškio g. darbai už 147 tūkst. eur . Gardino g. įrengtos 2 naujos automobilių stovėjimo aikštelės ties Gardino g.6A ir Gardino g. 14.</t>
  </si>
  <si>
    <t>Atliktas išlyginamojo asfalto sluoksnio dengimas</t>
  </si>
  <si>
    <t>Sukurtos arba atnaujintos atviros erdvės mieste (Dainų takas, Dainų parkas)</t>
  </si>
  <si>
    <t>04.02.01.01.01</t>
  </si>
  <si>
    <t>Atlikti gatvių tyrimus</t>
  </si>
  <si>
    <t>Atlikta gatvių laboratorinių tyrimų</t>
  </si>
  <si>
    <t>04.02.01.01.02</t>
  </si>
  <si>
    <t>Atlikti miesto gatvių kapitalinį remontą (esminio pagerinimo darbai)</t>
  </si>
  <si>
    <t>Atliktas Vaisių g. remontas</t>
  </si>
  <si>
    <t>Gatvė rekonstruota, perasfaltuota nauja asfalto danga 0,61 km, naujai įrengtas trinkelių danga šaligatvis palei Centrinį parką bei perklotas buvęs susidėvėjęs šaligatvis iš viso 0,475 km.</t>
  </si>
  <si>
    <t>Atliktas Gluosnių g. remontas</t>
  </si>
  <si>
    <t>Gatvė rekonstruota, perasfaltuota nauja asfalto danga 0,238 km, perkloti trinkelių danga šaligatviai 0,476 km abiejose gatvės pusėse.</t>
  </si>
  <si>
    <t>Atliktas Varpo g. remontas</t>
  </si>
  <si>
    <t>Gatvė danga paruošta rekonstrukcijai įrengti pagrindai ir užklotas apatinis asfalto sluoksnis, atlikta 61,2 proc. darbų, pradėta kloti nauja trinkelių danga šaligatvis, darbai bus baigti 2023 m.</t>
  </si>
  <si>
    <t>Atliktas Salantų g. remontas</t>
  </si>
  <si>
    <t>Naujai išasfaltuota gatvės danga 0,137 km, perklotas šaligatvis betono trinkelių danga, atlikti lietaus nuotekų įrengimo ir drenažo darbai.</t>
  </si>
  <si>
    <t>Atliktas Šalkauskio g. remontas</t>
  </si>
  <si>
    <t>Naujai išasfaltuota gatvės danga 0,257 km, perklotas trinkelių danga šaligatvis 0,257 km, įrengta neregių vedimo sistema su įspėjamaisiais paviršiais.</t>
  </si>
  <si>
    <t>Atliktas Basanavičiaus g. nuo Vaidoto iki miesto ribos remontas</t>
  </si>
  <si>
    <t>Gatvė rekonstruota, perasfaltuota nauja asfalto danga 1,25 km, perkloti trinkelių danga šaligatviai 1,92 km abiejose gatvės pusėse ir įrengta nauja šaligatvio atkarpa 0,324 km, atlikti lietaus nuotekų rekonstrukcijos darbai.</t>
  </si>
  <si>
    <t>04.02.01.01.03</t>
  </si>
  <si>
    <t>Remontuoti, pakeisti šaligatvius, dviračių takų dangas</t>
  </si>
  <si>
    <t>Atliktas šaligatvio  Radviliškio g. įrengimas</t>
  </si>
  <si>
    <t>Įrengtas naujas 0,951 km šaligatvis Radviliškio gatvėje.</t>
  </si>
  <si>
    <t>Atliktas šaligatvio Vytauto g. remontas</t>
  </si>
  <si>
    <t>Vytauto g. nuo S. Daukanto g. iki V. Kudirkos g. (kairė pusė) ir nuo Darbininkų g. iki Žibuoklių g. iki Lelijų g. (dešinė pusė)  rekonstruotas šaligatvis nauja trinkelių danga 0,064 km ir įrengta nauja šaligatvio atkarpa 0,318 km.</t>
  </si>
  <si>
    <t>Atlikta Dainų tako (pietinio bulvaro) rekonstrukcija</t>
  </si>
  <si>
    <t>Pradėta pietinio bulvaro (tarp Lyros g. ir Aido g.) rekonstrukcija, atlikta 67,4 proc. rangos darbų: nutiestas dviračių takas 0,451 km, atnaujinta pėsčiųjų tako dalis 2600 kv.m klinkerio trinkelėmis, darbai bus tęsiami 2023 m.</t>
  </si>
  <si>
    <t>04.02.01.06</t>
  </si>
  <si>
    <t>Įrengti viešojo susisiekimo infrastruktūrą, siekiant pagerinti sąlygas verslo plėtrai</t>
  </si>
  <si>
    <t>Įrengtas Serbentų g. tęsinys nuo esamos Serbentų g. iki Aukštabalio g.</t>
  </si>
  <si>
    <t>Baigti fiziniai Serbentų g. tęsinio nuo esamos Serbentų g. iki Aukštabalio g. darbai kartu su šaligatvio įrengimu, įrengti paviršinių nuotekų tinklai,  apšvietimo elektros tinklai.</t>
  </si>
  <si>
    <t>Įrengta žiedinė sankryža</t>
  </si>
  <si>
    <t>Įrengta nauja žiedinė sankryža Aukštabalio g. ir Baltų g. sankirtoje su apšvietimo elektros tinklo įrengimu ir paviršinių nuotekų tinklais.</t>
  </si>
  <si>
    <t>04.02.01.07</t>
  </si>
  <si>
    <t>Įrengti kelio Šiauliai-Panevėžys jungtį su Šiaulių industrinio parko teritorija</t>
  </si>
  <si>
    <t>Atlikta kelio rangos darbų</t>
  </si>
  <si>
    <t>04.02.01.11</t>
  </si>
  <si>
    <t>Įgyvendinti projektą „Eismo saugumo priemonių įdiegimas Šiaulių mieste“</t>
  </si>
  <si>
    <t>Baigta tvarkyti projekto dokumentacija ir finansiniai srautai, patvirtintas galutinis mokėjimo prašymas.</t>
  </si>
  <si>
    <t>04.02.01.14</t>
  </si>
  <si>
    <t>Įgyvendinti projektą „Darnaus judumo priemonių diegimas Šiaulių mieste“</t>
  </si>
  <si>
    <t>Įgyvendintos darnaus judumo priemonės</t>
  </si>
  <si>
    <t>Įgyvendinant projektą ,,Darnaus judumo priemonių diegimas Šiaulių mieste" atlikti visi suplanuoti rangos darbai.</t>
  </si>
  <si>
    <t>04.02.01.15</t>
  </si>
  <si>
    <t>Įgyvendinti projektą „Pakruojo gatvės rekonstrukcija“</t>
  </si>
  <si>
    <t>Atlikta patikra vietoje. Vis atsirandant paramos lėšų likučiui regione, pakartotinai pradedamos procedūros siekiant padidinti finansavimo intensyvumą projektui.</t>
  </si>
  <si>
    <t>04.02.01.19</t>
  </si>
  <si>
    <t>Vykdyti keleivių vežimą vietinio (miesto) reguliaraus susisiekimo autobusų maršrutais</t>
  </si>
  <si>
    <t>Apmokėta už miesto keleivių vežimo vietiniais maršrutais (Nr. 2,8,14,20,24) paslaugas pagal kilometražą</t>
  </si>
  <si>
    <t>UAB Busturui apmokama už faktinę 5 maršrutų ridą teikiant miesto keleivių vežimo 2,8,14,20,24  - vietiniais maršrutais viešąsias paslaugas. Metų bėgyje 1 km įkainis dėl indeksavimo pakilo nuo 1,01 eur iki 1,21 eur.</t>
  </si>
  <si>
    <t>04.02.02.</t>
  </si>
  <si>
    <t>Vykdyti Savivaldybės infrastruktūros plėtrą</t>
  </si>
  <si>
    <t>04.02.02.01</t>
  </si>
  <si>
    <t>Suprojektuoti, nutiesti, išasfaltuoti ar rekonstruoti žvyruotas gatves</t>
  </si>
  <si>
    <t>Išasfaltuoti ir įrengti žvyruotas gatves</t>
  </si>
  <si>
    <t>2022 metais planuojama išasfaltuoti : Klaipėdos, Karklų, Svajonės gatvė, Dainavos takas ir gatvė - išasfaltuotos Klaipėdos, Karklų, Svajonės gatvės, Dainavos tako ir gatvės parengti tik rekonstravimo projektai, pradėti darbai Skroblų g.  Žiemos metu darbai nevyko, apmokėtos skolos iš 2021 metų: Šakių -  Prienų g., Ganyklų g. ir kt. Atlikti baigiamieji Ganyklų g., Nidos, Vingių, Ievų g. darbai.</t>
  </si>
  <si>
    <t>Išasfaltuota Dainavos takas ir gatvė</t>
  </si>
  <si>
    <t>Parengti rekonstrukcijos projektai, asfaltavimo darbai bus daromi 2023 m.</t>
  </si>
  <si>
    <t>Išasfaltuota Svajonės g.</t>
  </si>
  <si>
    <t>2022.04 mėn. išasfaltuota Svajonės gatvė 0,29 km.</t>
  </si>
  <si>
    <t>Išasfaltuota Klaipėdos g.</t>
  </si>
  <si>
    <t>Išasfaltuota Klaipėdos gatvė 0,872 km.</t>
  </si>
  <si>
    <t>Išasfaltuota Karklų g.</t>
  </si>
  <si>
    <t>Išasfaltuota Karklų gatvė 0,800 km, įrengtas drenažas.</t>
  </si>
  <si>
    <t>Išasfaltuota Skroblų g.</t>
  </si>
  <si>
    <t>Įrengti kelio konstrukcijos pagrindai, drenažas, darbai bus tęsiami 2023 m.</t>
  </si>
  <si>
    <t>04.02.02.02</t>
  </si>
  <si>
    <t>Įgyvendinti Savivaldybės infrastruktūros plėtros rėmimo programą</t>
  </si>
  <si>
    <t>Sukurta infrastruktūros objektų (pasirašyta savivaldybės infrastruktūros plėtros sutarčių)</t>
  </si>
  <si>
    <t>Pasirašyta savivaldybės infrastruktūros plėtros sutarčių, vadovaujantis LR Savivaldybių infrastruktūros plėtros įstatymu.</t>
  </si>
  <si>
    <t>05.</t>
  </si>
  <si>
    <t>Miesto ekonominės plėtros programa</t>
  </si>
  <si>
    <t>05.01.</t>
  </si>
  <si>
    <t>Skatinti miesto ekonominę plėtrą sudarant palankias sąlygas verslo vystymuisi</t>
  </si>
  <si>
    <t>Užimtų gyventojų skaičiaus augimas</t>
  </si>
  <si>
    <t>Įsteigtų įmonių</t>
  </si>
  <si>
    <t>Materialinių investicijų augimas</t>
  </si>
  <si>
    <t>Tiesioginių užsienio investicijų (TUI) augimas</t>
  </si>
  <si>
    <t>05.01.02.</t>
  </si>
  <si>
    <t>Skatinti ir ugdyti verslumą</t>
  </si>
  <si>
    <t>05.01.02.01</t>
  </si>
  <si>
    <t>Skatinti smulkiojo ir vidutinio verslo subjektus</t>
  </si>
  <si>
    <t>Įgyvendintų skatinimo priemonių</t>
  </si>
  <si>
    <t>Informacija apie paramos priemones patalpinta savivaldybės internetiniame puslapyje. Gautos 2  paraiškos: 1 mokymo išlaidoms kompensuoti ir 1 - įmonės steigimo išlaidoms kompensuoti.
Per I-mą pusmetį gautos 4 paraiškos : 2 įmonės steigimo išlaidoms kompensuoti, 2 mokymo išlaidoms kompensuoti.
III ketvirtyje gautos 5 paraiškos, iš jų: 2 paraiškos Jaunimo nuo 18 iki 29 m. verslo projektų konkursui, 1 paraiška Vyresnių nei 45 m. asmenų verslo projektų konkursui , 2 paraiškos „Parama inovatyviam verslui“ verslo projektų konkursui. Vyksta Įrankių ir įrangos konkurso paraiškų vertinimas. IV-me ketvirtyje gauta 11 paraiškų, iš jų -10 Įrankių ir įrangos konkursui, 1- mokymo išlaidoms kompensuoti.</t>
  </si>
  <si>
    <t>05.01.02.02</t>
  </si>
  <si>
    <t>Įgyvendinti verslo subjektų mokymo programas</t>
  </si>
  <si>
    <t>Surengtų mokymų</t>
  </si>
  <si>
    <t>I ketvirtyje organizuotas programos vykdytojo atrankos konkursas, išrinktas programos vykdytojas. Priemonė vykdoma pagal programos vykdytojo pateiktą planą.
II ketv. surengti 3 mokymai -  MS Exel, MS Word, Brandingas skaitmeniniuose kanaluose, mokymas "Būk aktyvus, unikalus ir verslus", suorganizuoti 3 verslumo renginiai: Prekės ženklai, logotipai ir kt. intelet. nuosav., JA Lietuva regioninė MMB  mugė, Mokesčiai Smulkiajam verslui: ypatumai ir naujovės, suteikta 120val. konsultacijų.
III ketvirtyje surengtas 1 mokymas „Sandorių sudarymas dabartinės ekonominės situacijos kontekste“ ir trys informaciniai renginiai: ”Išvyka-susitikimas su sėkmingais verslininkais“, "Finansavimo galimybės įmonių projektams 2021-2027 metais", "Kibernetinio saugumo ypatumai".</t>
  </si>
  <si>
    <t>2022 m.: Surengti 3 mokymai (2020-06-30).
Surengti 4 mokymai (2022-09-30).
Per 1-4 ketvirčius surengti 5 mokymai (2022-12-01) 
Liko nepanaudota lėšų, kadangi programos vykdytojui VšĮ Šiaulių verslo inkubatoriui nuo 2022-11-03 pradėtos likvidavimo procedūros.</t>
  </si>
  <si>
    <t>Verslo sklaidos renginių</t>
  </si>
  <si>
    <t>Suteiktos konsultacijos</t>
  </si>
  <si>
    <t>05.01.02.03</t>
  </si>
  <si>
    <t>Įgyvendinti jaunimo verslumo skatinimo programą</t>
  </si>
  <si>
    <t>Konsultuotų asmenų</t>
  </si>
  <si>
    <t>I ketvirtyje organizuotas programos vykdytojo atrankos konkursas, išrinktas programos vykdytojas. Priemonė vykdoma pagal programos vykdytojo pateiktą planą.
II ketv. surengti 6 mokymai: Brandingas skaitmeniniuose kanaluose, Programos Canva panaudojimas versle, Individualios veiklos ir MB apskaita, BDAR praktinis taikymas, Streso valdymo būdai, Verslo pradžia. Konsultuota 16 asmenų.
III ketvirtyje suorganizuoti du mokymai. Konsultuota 11 asmenų.
IV ketv. suorganizuoti 2 mokymai "Kaip įmonei pritraukti reikiamus darbuotojus", "Stresas ir verslas: kaip išlaikyti balansą ir padėti sau", "Pažink save, kad pažintum kitą".</t>
  </si>
  <si>
    <t>Verslumo mokymo ir verslo informacinės sklaidos renginių</t>
  </si>
  <si>
    <t>05.01.05.</t>
  </si>
  <si>
    <t>Skatinti investicijų pritraukimą</t>
  </si>
  <si>
    <t>05.01.05.01</t>
  </si>
  <si>
    <t>Parengti (atnaujinti) investicijų projektus</t>
  </si>
  <si>
    <t>Parengtų ir atnaujintų investicijų projektų</t>
  </si>
  <si>
    <t>Atliktas mokėjimas už: a) 6 energinio efektyvumo didinimo investicijų projektus ir energetinius auditus: „Mokslo paskirties pastato, esančio A. Mickevičiaus g. 9, Šiauliuose, modernizavimas”, „VšĮ Dainų pirminės sveikatos priežiūros centro pastato, esančio Aido g. 18, Šiauliuose, modernizavimas”, „Šiaulių kultūros centro Rėkyvos kultūros namų pastato, esančio Energetikų g. 7, Šiauliuose, modernizavimas”, „Šiaulių socialinių paslaugų centro pastato, esančio Stoties g. 9C, Šiauliuose, modernizavimas 70, Šiauliuose, modernizavimas”, „Šiaulių miesto kultūros centro „Laiptų galerija“ pastato, esančio Žemaitės g. 83, Šiauliuose, modernizavimas” „Šiaulių lopšelio-darželio „Ežerėlis“ pastato, esančio Ežero g. 70, Šiauliuose, modernizavimas“. b) 4 energinio efektyvumo didinimo investicijų projektų ir energetinių auditų korektūras: „Šiaulių lopšelio-darželio „Salduvė“ (Vilniaus g. 38D, Šiauliai) pastato energinio efektyvumo didinimas“ (70 proc. sutarties dalyko kainos), „VšĮ Dainų pirminės sveikatos priežiūros centro pastato, esančio Aido g. 18, Šiauliuose, modernizavimas” (70 proc. sutarties dalyko kainos), „Mokslo paskirties pastato, esančio A. Mickevičiaus g. 9, Šiauliuose, modernizavimas” (70 proc. sutarties dalyko kainos), „Šiaulių Sporto gimnazijos (Vilniaus g. 297, Šiauliai) mokyklos pastato energinio efektyvumo didinimas“ (70 proc. sutarties dalyko kainos), c) Pažangos plano parengimą „Tūkstantmečio mokyklų“ programai Šiaulių miesto savivaldybėje, d) 4 investicijų projektų parengimą: ,,Aerouosto gatvės, tarp Dubijos g. ir Lakūnų g., ir Lakūnų gatvės, Šiauliuose kapitalinis remontas/rekonstravimas; Pramonės ir Serbentų gatvių sankryžos, Šiauliuose kapitalinis remontas“, „Aukštabalio gatvės nuo Tilžės gatvės iki Išradėjų gatvės sutvarkymas/įrengimas“, „Sąlygų sukūrimas verslo plėtrai ir investicijų pritraukimui įrengiant viešąją susisiekimo infrastruktūrą Šiaulių mieste“, „Tūkstantmečio mokyklų programos įgyvendinimas Šiaulių miesto savivaldybėje“, e) 1 investicijų projekto korekciją „Paslaugų ir asmenų aptarnavimo kokybės gerinimas Šiaulių miesto savivaldybės administracijoje ir Šiaulių miesto savivaldybės viešojoje bibliotekoje“.</t>
  </si>
  <si>
    <t>05.01.05.02</t>
  </si>
  <si>
    <t>Vystyti Šiaulių pramoninio  parko (ŠPP) ir Šiaulių laisvosios ekonominės zonos (Šiaulių LEZ) infrastruktūrą</t>
  </si>
  <si>
    <t>LEZ teritorijoje įrengti pėsčiųjų dviračių takai</t>
  </si>
  <si>
    <t>Atlikti pėsčiųjų-dviračių tako įrengimo baigiamieji darbai, baigta tvarkyti užbaigimo dokumentacija.</t>
  </si>
  <si>
    <t>Įrengta geležinkelio kelių</t>
  </si>
  <si>
    <t>Įrengta krovos aikštelių infrastruktūra</t>
  </si>
  <si>
    <t>Sklypų skaičius iš kurių pašalinti medžiai</t>
  </si>
  <si>
    <t>1 vnt. - I ketv. pašalinti medžiai sklype adresu Pročiūnų g. 14, Šiaulių pramoniniame parke ir kompensuota medžių atkuriamoji vertė, kuri sudarė 3597 Eur. Dokumentai apmokėjimui pateikti 2022 m. vasario mėn.</t>
  </si>
  <si>
    <t>Iškeltų inžinerinių tinklų</t>
  </si>
  <si>
    <t>05.01.05.02.02</t>
  </si>
  <si>
    <t>Gerinti investicinę aplinką Šiaulių pramoniniame parke</t>
  </si>
  <si>
    <t>05.01.05.02.03</t>
  </si>
  <si>
    <t>Įgyvendinti projektą „Šiaulių laisvosios ekonominės zonos infrastruktūros plėtra (II etapas)"</t>
  </si>
  <si>
    <t>05.01.05.02.04</t>
  </si>
  <si>
    <t>Įgyvendinti projektą „Investicinės aplinkos gerinimas Šiaulių laisvojoje ekonominėje zonoje ir jos prieigose"</t>
  </si>
  <si>
    <t>Atlikti pėsčiųjų-dviračių tako įrengimo baigiamieji darbai, baigta tvarkyti užbaigimo dokumentacija. Baigti įrengti lietaus nuotekų pravedimai per Aviacijos g., tvarkoma užbaigimo dokumentacija. Atlikti parengiamieji darbai siekiant, kad krovos aikštelių darbai galėtų būti pradėti kaip įmanoma greičiau, - iškirsti medžiai ir sumokėta kompensacija. Pradėti vykdyti krovos aikštelių įrengimo darbai.</t>
  </si>
  <si>
    <t>05.01.05.02.05</t>
  </si>
  <si>
    <t>Įgyvendinti projektą „Geležinkelio atšakos į Šiaulių miesto pramoninę zoną įrengimas"</t>
  </si>
  <si>
    <t>Objektas užbaigtas. Pasirašyta užbaigimo deklaracija.</t>
  </si>
  <si>
    <t>05.01.05.02.06</t>
  </si>
  <si>
    <t>Įgyvendinti projektą „Šiaulių laisvosios ekonominės zonos infrastruktūros įrengimo užbaigimas ir sklypų pritaikymas investuotojų pritraukimui"</t>
  </si>
  <si>
    <t>Baigti sklypų lyginimo darbai, baigta tvarkyti projekto dokumentacija ir finansiniai srautai.</t>
  </si>
  <si>
    <t>05.01.05.02.07</t>
  </si>
  <si>
    <t>Įgyvendinti projektą „Susisiekimo infrastruktūros ir dviratininkams (pėstiesiems) skirtos susisiekimo infrastruktūros įrengimas Šiaulių PP teritorijoje ir Šiaulių LEZ prieigose"</t>
  </si>
  <si>
    <t>Atlikti baigiamieji susisiekimo infrastruktūros dviratininkams ir pėstiesiems skirto tako tarp Šiaulių pramonės parko ir LEZ teritorijų, baigta tvarkyti dokumentacija ir finansiniai srautai.</t>
  </si>
  <si>
    <t>05.01.05.02.08</t>
  </si>
  <si>
    <t>Įgyvendinti projektą "Šiaulių laisvosios ekonominės zonos ir Šiaulių pramonės parko teritorijų prijungimas prie geležinkelio infrastruktūros"</t>
  </si>
  <si>
    <t>Pradėti vykdyti geležinkelio tarp Šiaulių pramoninio parko ir numatomų įrengti krovos aikštelių greta Šiaulių LEZ teritorijos statybos darbai.</t>
  </si>
  <si>
    <t>05.01.05.03</t>
  </si>
  <si>
    <t>Vystyti Šiaulių Oro uosto veiklą</t>
  </si>
  <si>
    <t>Įvykdyti specialieji aviacijos saugumo užtikrinimo įsipareigojimai</t>
  </si>
  <si>
    <t>Lėšos panaudotos aviacijos saugumo įsipareigojimų funkcijos užtikrinimui. Gautomis lėšomis buvo mokamas darbo užmokestis, darbuotojų kursų, mokymų išlaidos, transporto išlaikymo išlaidos, komunalinės paslaugos.
Lėšos Aviaciniam saugumui per 2022 01-06 mėnesius gautos pagal sąmatą, panaudotos pagal tikslingumą.
Lėšos Aviaciniam saugumui per 2022 01-09 mėnesius gautos pagal sąmatą, panaudotos pagal tikslingumą.
Lėšos Aviaciniam saugumui per 2022 01-12 mėnesius gautos pagal sąmatą, panaudotos pagal tikslingumą.</t>
  </si>
  <si>
    <t>Įsigyta techninė įranga</t>
  </si>
  <si>
    <t>Per I-ąjį pusmetį įsigytas orlaivių vilkikas.
III ketv. gautos ir panaudotos lėšos įsigyti nuledijimo automobiliui. Automobilis pristatytas spalio 5 d.
IV ketv. Įsigytas mobilus elektros energijos šaltinis (generatorius).</t>
  </si>
  <si>
    <t>05.01.05.04</t>
  </si>
  <si>
    <t>Įrengti ekonominės veiklos centro infrastruktūrą</t>
  </si>
  <si>
    <t>Elektros transformatorinės rekonstrukcija el. galios padidinimui</t>
  </si>
  <si>
    <t>Užsakytos galios didinimo prisijungimo sąlygos (2021-01-26 Oro uosto galios didinimui, 2022-02-23 UAB Aviatic MRO galios didinimui).</t>
  </si>
  <si>
    <t>05.01.05.05</t>
  </si>
  <si>
    <t>Viešinti investicinę aplinką</t>
  </si>
  <si>
    <t>Suorganizuota renginių</t>
  </si>
  <si>
    <t>Dalyvauta parodose</t>
  </si>
  <si>
    <t>Sukurtų elektroninių leidinių</t>
  </si>
  <si>
    <t>III ketv. sukurtas angliškas reklaminis leidinys, patalpintas savivaldybės internetinėje svetainėje "Why invest in Šiauliai".
IV ketv. Išverstas pristatymas į anglų kalbą "Business land investment opportunities". Trumpas leidinys apie galimybes verslui angliškai "Šiauliai - a great location for your tech start up").</t>
  </si>
  <si>
    <t>Publikuotų straipsnių Lietuvos ir užsienio spaudoje</t>
  </si>
  <si>
    <t>Sukurtų edukacinių rinkodaros priemonių</t>
  </si>
  <si>
    <t>Suorganizuotas piešinių konkursas.</t>
  </si>
  <si>
    <t>Atliktas Šiaulių miesto verslo aplinkos vertinimas</t>
  </si>
  <si>
    <t>Atliktas Šiaulių miesto verslo aplinkos vertinimas (anketinė apklausa).</t>
  </si>
  <si>
    <t>05.01.05.06</t>
  </si>
  <si>
    <t>Pritraukti aukštos kvalifikacijos specialistus į Šiaulių miestą</t>
  </si>
  <si>
    <t>Atvykę dirbti aukštos kvalifikacijos specialistai, kurie gavo vienkartines išmokas</t>
  </si>
  <si>
    <t>I-ąjį ketvirtį paraiškų negauta. Lėšos panaudotos pagal 2021 m. tęstinę sutartį (lėšos būsto nuomai išmokamos kas pusmetį).
Per I-ajį pusmetį gauta 18 paraiškų, patvirtintos 5.  Sutartys sudarytos su 4 aukštos kvalifikacijos specialistais, viena sutartis bus sudaryta pasibaigus bandomajam laikotarpiui.
III ketvirtyje gautos 2 paraiškos, abi patvirtintos, vienai parama bus pervesta pasibaigus bandomajam laikotarpiui.
IV ketvirtyje gautos 3 paraiškos, patvirtintos - 2, pasirašė sutartį -1. 2022 m. parama skirta 6 aukštos kvalifikacijos specialistams.</t>
  </si>
  <si>
    <t>06.</t>
  </si>
  <si>
    <t>Turto valdymo ir privatizavimo programa</t>
  </si>
  <si>
    <t>06.01.</t>
  </si>
  <si>
    <t>Užtikrinti Savivaldybei nuosavybės teise priklausančio turto efektyvų panaudojimą</t>
  </si>
  <si>
    <t>Teisiškai sutvarkytų ir  įregistruotų  nekilnojamojo turto sk.  nuo viso turimo turto, proc.</t>
  </si>
  <si>
    <t>06.01.01.</t>
  </si>
  <si>
    <t>Užtikrinti Savivaldybei nuosavybės teise priklausančio turto įregistravimą viešuosiuose registruose</t>
  </si>
  <si>
    <t>06.01.01.01</t>
  </si>
  <si>
    <t>Apmokėti pastatų, patalpų ir inžinerinių statinių vertinimo, kadastrinių matavimų atlikimo, teisines registracijos išlaidas</t>
  </si>
  <si>
    <t>Nekilnojamojo turto registre teisiškai įregistruotas turtas</t>
  </si>
  <si>
    <t>Per 2022 metus teisiškai įregistruota 211 objektų.</t>
  </si>
  <si>
    <t>06.01.01.03</t>
  </si>
  <si>
    <t>Padengti Privatizavimo programos vykdymo išlaidas</t>
  </si>
  <si>
    <t>Padengtos išlaidos</t>
  </si>
  <si>
    <t>Per 2022 m. parduota 16 nekilnojamojo turto vienetų. Taip pat parduotas 1 nematerialaus turto vienetas, t. y. daugiabučio namo techninis projektas.</t>
  </si>
  <si>
    <t>06.01.01.06</t>
  </si>
  <si>
    <t>Apmokėti turto, kuris neturi savininko (ar savininkas nežinomas) laikinosios priežiūros ir laikinųjų apsaugos priemonių įrengimo arba griovimo išlaidas</t>
  </si>
  <si>
    <t>Prižiūrimų ir nugriautų objektų</t>
  </si>
  <si>
    <t>2022 m. liepos 11 d. pasirašyta 5 objektų griovimo sutartis: sandėlio - (78,43m3) tarp pastatų Terminalo g. 2A, 2B ir Erdvės g.15, Šiauliuose; sandėlio - (449,08 m3) tarp pastatų Terminalo g. 2C ir Erdvės g.15, Šiauliuose ir sandėlio - (414,62 m3) tarp pastatų Terminalo g. 2B ir 2D, Šiauliuose, sandėlio – (70,76m3) esančio Smėlio g. 6A, Šiauliuose ir pagalbinio ūkio pastato (65,21 m3), esančio tarp sklypų Salduvės g. 59A ir Aleksandrijos g. 3A).Objektai nugriauti, atlikti aplinkos sutvarkymo darbai.</t>
  </si>
  <si>
    <t>06.01.02.</t>
  </si>
  <si>
    <t>Tinkamai eksploatuoti, renovuoti, remontuoti ir  saugoti Savivaldybei nuosavybės teise priklausantį turtą</t>
  </si>
  <si>
    <t>06.01.02.03</t>
  </si>
  <si>
    <t>Apmokėti Savivaldybei nuosavybės teise priklausančių pastatų, patalpų ir inžinerinių statinių  draudimo, apsaugos, remonto, komunalines ir kitas išlaidas</t>
  </si>
  <si>
    <t>Apmokėtos eksploatavimo išlaidos</t>
  </si>
  <si>
    <t>Apdraustų objektų</t>
  </si>
  <si>
    <t>06.01.02.12</t>
  </si>
  <si>
    <t>Apmokėti Savivaldybei nuosavybės teise priklausančio nekilnojamojo turto renovacijos išlaidas</t>
  </si>
  <si>
    <t>Apmokėtos renovacijos išlaidos</t>
  </si>
  <si>
    <t>Išlaidos apmokėtos.</t>
  </si>
  <si>
    <t>06.01.02.14</t>
  </si>
  <si>
    <t>Užtikrinti skolų išieškojimą ir skolininkų iškeldinimą iš Savivaldybei nuosavybės teise priklausančių būstų</t>
  </si>
  <si>
    <t>Įvykdytų teismų sprendimų</t>
  </si>
  <si>
    <t>Per 2022 m. iškeldinti 7 asmenys.</t>
  </si>
  <si>
    <t>06.01.02.15</t>
  </si>
  <si>
    <t>Organizuoti finansinių įsipareigojimų Aukštabalio multifunkcinio komplekso operatoriui vykdymą</t>
  </si>
  <si>
    <t>Pasirašyta koncesijos sutartis</t>
  </si>
  <si>
    <t>2022 m. gruodžio 1 d. priimtas Šiaulių mieto savivaldybės tarybos sprendimas Nr. T-422 „Dėl pritarimo pakeisti Šiaulių miesto savivaldybės administracijos ir viešosios įstaigos „Pramogų sala“ Aukštabalio multifunkcinio komplekso eksploatavimo koncesijos suteikimo 2006 m. birželio 8 d. sutartį Nr. SŽ-988“, kuriuo pagrindu buvo pasirašytas papildomas susitarimas dėl Koncesijos suteikimo sutarties pratęsimo iki 2023 m. birželio 30 d.</t>
  </si>
  <si>
    <t>Įvykdytų sutartinių metinių įsipareigojimų</t>
  </si>
  <si>
    <t>06.01.02.16</t>
  </si>
  <si>
    <t>Apmokėti Savivaldybei nuosavybės teise priklausančių būstų eksploatavimo, administravimo, kaupimo, nuomos mokesčio surinkimo, komunalinių mokesčių, remonto išlaidas</t>
  </si>
  <si>
    <t>Apmokėtos išlaidos</t>
  </si>
  <si>
    <t>06.01.02.17</t>
  </si>
  <si>
    <t>Kompensuoti daugiabučių namų savininkų bendrijų steigimo išlaidas</t>
  </si>
  <si>
    <t>Padengtos steigimo išlaidos</t>
  </si>
  <si>
    <t>Per 2022 metus gauti ir apmokėti 5 prašymai.</t>
  </si>
  <si>
    <t>06.01.03.</t>
  </si>
  <si>
    <t>Sudaryti sąlygas įsigyti būstą pažeidžiamiausioms gyventojų grupėms</t>
  </si>
  <si>
    <t>06.01.03.05</t>
  </si>
  <si>
    <t>Didinti Savivaldybės būsto fondą</t>
  </si>
  <si>
    <t>Nupirktų būstų</t>
  </si>
  <si>
    <t>Lėšos, gautos pardavus savivaldybės būstus, pervedamos į savivaldybės biudžetą ir naudojamos socialinio būsto fondo plėtrai.</t>
  </si>
  <si>
    <t>06.01.03.06</t>
  </si>
  <si>
    <t>Įgyvendinti projektą „Socialinio būsto fondo plėtra Šiaulių miesto savivaldybėje"</t>
  </si>
  <si>
    <t>Pasirašyta 10 butų pirkimo pardavimo sutarčių.  Atliktas 10 butų  turto vertinimas. Įsigytos 4 dujinės viryklės su elektrinėmis orkaitėmis. 4 butai pritaikyti neįgaliųjų poreikiams.</t>
  </si>
  <si>
    <t>06.01.03.07</t>
  </si>
  <si>
    <t>Kompensuoti būsto nuomos ar išperkamosios būsto nuomos mokesčių dalį</t>
  </si>
  <si>
    <t>1.04.</t>
  </si>
  <si>
    <t>Per 2022 m. nuomos mokesčio kompensaciją gavo 52 šeimos.</t>
  </si>
  <si>
    <t>06.01.03.08</t>
  </si>
  <si>
    <t>Sumokėti socialiai remtinų piliečių palūkanas už paskolas ir kompensuoti būsto nuomos mokesčių dalį</t>
  </si>
  <si>
    <t>06.01.03.09</t>
  </si>
  <si>
    <t>Kompensuoti jaunoms šeimoms dalį išlaidų įsigyjant pirmą būstą</t>
  </si>
  <si>
    <t>Šeimų gavusių kompensacijas</t>
  </si>
  <si>
    <t>Per 2022 m. 28 šeimos gavo 500 Eur finansinę paskatą. Mokama pagal gautus prašymus.</t>
  </si>
  <si>
    <t>07.</t>
  </si>
  <si>
    <t>Sporto plėtros programa</t>
  </si>
  <si>
    <t>07.01.</t>
  </si>
  <si>
    <t>Sudaryti sąlygas ugdyti sveiką ir fiziškai aktyvią miesto bendruomenę bei plėtoti aukšto meistriškumo sportininkų rengimo sistemą</t>
  </si>
  <si>
    <t>Sporto organizacijų Šiaulių mieste</t>
  </si>
  <si>
    <t>2022 m. Šiaulių mieste veikė 65 sporto organizacijos.</t>
  </si>
  <si>
    <t>Prižiūrimų sporto bazių</t>
  </si>
  <si>
    <t>07.01.01.</t>
  </si>
  <si>
    <t>Plėtoti aukšto meistriškumo sportininkų rengimo sistemą</t>
  </si>
  <si>
    <t>07.01.01.02</t>
  </si>
  <si>
    <t>Vykdyti miesto, apskrities, šalies ir tarptautinius sporto renginius bei pasirengti ir dalyvauti šalies ir tarptautinėms varžyboms (Baltijos, Europos ir pasaulio čempionato varžyboms, kompleksiniams renginiams ir kt.)</t>
  </si>
  <si>
    <t>Šalies sporto šakų čempionatuose, taurės varžybose (suaugusiųjų amžiaus grupėje) laimėta 1–3 vietų</t>
  </si>
  <si>
    <t>Šiaulių miesto sporto įstaigų sportininkai laimėjo 259 Lietuvos suaugusiųjų čempionatų prizines vietas.</t>
  </si>
  <si>
    <t>Šalies sporto šakų čempionatuose, taurės varžybose (jaunučių, jaunių, jaunimo amžiaus grupėse) laimėta 1–3 vietų</t>
  </si>
  <si>
    <t>Šiaulių miesto sporto įstaigų sportininkai laimėjo 428 jaunučių, jaunių ir jaunimo Lietuvos čempionatų prizines vietas.</t>
  </si>
  <si>
    <t>Europos čempionate iškovotų 1–6 vietų ir pasaulio čempionate, taurės varžybose (suaugusiųjų amžiaus grupėje) iškovotų 1–10 vietų</t>
  </si>
  <si>
    <t>21 Šiaulių miesto sporto įstaigų sportininkas Europos čempionate iškovojo 1–6 vietų ir pasaulio čempionate, taurės varžybose (suaugusiųjų amžiaus grupėje).</t>
  </si>
  <si>
    <t>Europos čempionate iškovotų 1–6 vietų ir pasaulio čempionate, taurės varžybose (jaunučių, jaunių, jaunimo amžiaus grupėse) iškovotų 1–10 vietų</t>
  </si>
  <si>
    <t>67 Šiaulių miesto sporto įstaigų sportininkai Europos čempionate iškovojo 1–6 vietų ir pasaulio čempionate, taurės varžybose (jaunučių, jaunių, jaunimo amžiaus grupėse) 1-10 vietų</t>
  </si>
  <si>
    <t>Olimpinės ir paralimpinės rinktinės kandidatų bei perspektyvinės pamainos sportininkų</t>
  </si>
  <si>
    <t>2022 m. 14 šiauliečių buvo Olimpinės rinktinės nariais, 7 -  Paralimpinės rinktinės nariai, 15 sportininkų buvo įrašyti į Olimpinės pamainos sąrašą, viso 36.</t>
  </si>
  <si>
    <t>Rinktinės narių (suaugusiųjų amžiaus grupėje)</t>
  </si>
  <si>
    <t>120 Šiaulių miesto sporto įstaigų sportininkai buvo Lietuvos suaugusiųjų rinktinių nariais.</t>
  </si>
  <si>
    <t>Rinktinės narių (jaunučių, jaunių, jaunimo amžiaus grupėse)</t>
  </si>
  <si>
    <t>190 Šiaulių miesto sporto įstaigų sportininkas buvo Lietuvos jaunimo, jaunių ir jaunučių rinktinių nariais.</t>
  </si>
  <si>
    <t>Surengtų sporto renginių</t>
  </si>
  <si>
    <t>2022 m. Šiaulių miesto sporto įstaigos surengė 294 sporto renginius, kuriuose dalyvavo 18805 dalyviai, 29 tarptautinius sporto renginius, kuriuose dalyvavo 4240 atletai.</t>
  </si>
  <si>
    <t>07.01.01.06</t>
  </si>
  <si>
    <t>Pasirengti ir dalyvauti Lietuvos čempionato ir sporto šakų federacijų taurės, Baltijos lygos ir taurės laimėtojų, Europos taurės ir kitose oficialiose varžybose (žaidimų komandų jaunimo ir suaugusiųjų amžiaus grupė)</t>
  </si>
  <si>
    <t>Komandų, dalyvaujančių šalies varžybose</t>
  </si>
  <si>
    <t>Šalies čempionatuose dalyvavo šios komandos: 
1. Šiaulių regbio komanda „Baltrex-Šiauliai" R7;
2. Šiaulių moterų regbio komanda „Baltrex" R7;
3. Šiaulių vyrų regbio komanda „Vairas-Kalvis-Jupoja-Šiauliai“ R7;
4. Šiaulių moterų regbio komanda „Vairas" R7;
5. Šiaulių vyrų regbio komanda „Šiauliai“ R7;
6.  Šiaulių moterų futbolo komanda „Gintra“ ; 
7. Šiaulių moterų žolės riedulio komanda „Ginstrektė-ŠSG“ (lauko); 
8. Šiaulių moterų žolės riedulio komanda „Ginstrektė-ŠSG“ (uždarų patalpų);
9. Šiaulių vyrų žolės riedulio komanda „Ginstrektė“ (lauko);
10. Šiaulių vyrų žolės riedulio komanda „Ginstrektė“ (uždarų patalpų);
11.Šiaulių vyrų tinklinio komanda „Elga-Master Idea-SC Dubysa“; 
12. Šiaulių vyrų rankinio komanda „RK Šiauliai“; 
13. Šiaulių moterų rankinio komanda „SC „Dubysa“/Šiaulių sporto gimnazija“; 
14. Šiaulių moterų krepšinio komanda „Šiauliai-Vilmers“; 
15. Šiaulių vyrų krepšinio komanda „Šiauliai“;
16. Šiaulių vyrų paplūdimio tinklinio komanda.</t>
  </si>
  <si>
    <t>Lietuvos čempionato varžybose laimėta 1–3 vietų</t>
  </si>
  <si>
    <t>Šalies čempionatuose/taurės varžybose prizines vietas laimėjo šios komandos: 
1. Šiaulių regbio komanda „Baltrex-Šiauliai“ R7 – 1 v.;
2. Šiaulių vyrų regbio komanda „Vairas-Kalvis-Jupoja-Šiauliai“ R7 – 2 v.;
3. Šiaulių moterų regbio komanda „Vairas" R7 – 1 v.;
4. Šiaulių moterų futbolo komanda „Gintra“ – 1 v.;
5. Šiaulių moterų žolės riedulio komanda „Ginstrektė-ŠSG“ (lauko) – 1v.;
6. Šiaulių moterų žolės riedulio komanda „Ginstrektė-ŠSG“ (uždarų patalpų) – 1 v.;
7. Šiaulių vyrų žolės riedulio komanda „Ginstrektė“ (lauko) – 1 v.;
8. Šiaulių vyrų žolės riedulio komanda „Ginstrektė“ (uždarų patalpų) – 1 v.;
9. Šiaulių vyrų paplūdimio tinklinio komanda – 3 v.</t>
  </si>
  <si>
    <t>Komandų, dalyvaujančių tarptautinėse varžybose</t>
  </si>
  <si>
    <t>Oficialiose tarptautinėse varžybose dalyvavo šios komandos:
1. Šiaulių moterų futbolo komanda „Gintra“;
2. Šiaulių regbio komanda „Baltrex-Šiauliai“ (Baltijos čempionatas R15);
3. Šiaulių vyrų regbio komanda „Vairas-Kalvis-Jupoja-Šiauliai“;
4. Šiaulių vyrų regbio komanda „Šiauliai“;
5. Šiaulių moterų žolės riedulio komanda „Ginstrektė-ŠSG“(lauko);
6. Šiaulių moterų krepšinio komanda "Šiauliai-Vilmers";
7. Šiaulių krepšinio komanda "Šiauliai";
8. Šiaulių vyrų paplūdimio tinklinio komanda.</t>
  </si>
  <si>
    <t>Tarptautinėse varžybose laimėta 1–3 vietų</t>
  </si>
  <si>
    <t>Oficialiuose tarptautinėse varžybose laimėjo 1–3 vietą šios komandos:
1. Šiaulių regbio komanda „Baltrex-Šiauliai“ (Baltijos čempionatas R15) – 3 v.;
2. Šiaulių vyrų regbio komanda „Vairas-Kalvis-Jupoja-Šiauliai“ (Baltijos čempionatas R15) – 1 v.;
3. Šiaulių moterų žolės riedulio komanda " Ginstrektė -ŠSG" Europos klubų žolės riedulio čempionatas – 3 v.;                                                                                              4. Šiaulių moterų futbolo komanda „Gintra“ - 1 v.</t>
  </si>
  <si>
    <t>Rinktinės narių</t>
  </si>
  <si>
    <t>2022 m. Šiaulių miesto komandinio sporto Lietuvos rinktinėse buvo 82 sportininkai.</t>
  </si>
  <si>
    <t>07.01.01.08</t>
  </si>
  <si>
    <t>Įgyvendinti Šiaulių miesto reprezentacinių renginių programą</t>
  </si>
  <si>
    <t>Surengtų miestą reprezentuojančių sporto renginių</t>
  </si>
  <si>
    <t>2022 m. įvyko šie reprezentaciniai sporto renginiai: 
1. Tarptautinės sportinių šokių varžybos „Sun City Cup“;
2. UEFA moterų čempionų lyga ir Moterų futbolo Baltijos lyga; 
3. Lietuvos krepšinio lyga ir Karaliaus Mindaugo Taurė; 
4. Šiaulių dviračių lenktynės; 5.Europos regbio čempionatai;
6. Europos motokroso čempionato etapas;
7. Daviso taurės mačas ir Tarptautinės teniso federacijos antros kategorijos jaunių (iki 18) metų turnyras.</t>
  </si>
  <si>
    <t>Surengtų sporto renginių dalyvių</t>
  </si>
  <si>
    <t>7 surengtuose reprezentaciniuose  sporto renginiuose dalyvavo 2 596 dalyviai (pagal reprezentacinių renginių vykdytojų pateiktus duomenis).</t>
  </si>
  <si>
    <t>07.01.01.09</t>
  </si>
  <si>
    <t>Skatinti sportininkus ir trenerius laimėjusius aukštas vietas tarptautinės varžybose</t>
  </si>
  <si>
    <t>Paskatinta aukšto meistriškumo sportininkų</t>
  </si>
  <si>
    <t>Paskatinta 37 aukšto meistriškumo sportininkai.</t>
  </si>
  <si>
    <t>Premijų (stipendijų), skirtų sportininkams</t>
  </si>
  <si>
    <t>Metinės premijos (stipendijos) skirtos šiems sportininkams: 
1. Andriui Skujai,
2. Danutei Domikaitytei, 
3. Aurimui Lankui, 
4. Edvinui Ramanauskui,
5. Juozui Baikščiui,
6. Urtei Baikštytei,
7. Dovilei Kilty,
8. Kamilei Gaučaitei,
9. Jonui Spudžiui,
10. Gerdai Meištininkaitei.</t>
  </si>
  <si>
    <t>Paskatinta aukšto meistriškumo sportininkų trenerių</t>
  </si>
  <si>
    <t>Paskatinta 17 aukšto meistriškumo sportininkų trenerių.</t>
  </si>
  <si>
    <t>07.01.01.10</t>
  </si>
  <si>
    <t>Plėtoti sportininkų rengimo centrų veiklą</t>
  </si>
  <si>
    <t>Komandų, dalyvaujančių LFF A, I ir II lygos varžybose</t>
  </si>
  <si>
    <t>LFF A lygos varžybose dalyvavo vyrų futbolo komanda „FA ŠIAULIAI", o LFF I lygos varžybose dalyvavo FA „ŠIAULIAI B" ir moterų salės futbolo komanda „FA ŠIAULIAI".</t>
  </si>
  <si>
    <t>Futbolo plėtros programoje rengiamų sportininkų</t>
  </si>
  <si>
    <t>2022 metais buvo rengiami 651 futbolo sporto šakos sportininkai.</t>
  </si>
  <si>
    <t>Komandų, dalyvaujančių Regiono lygos varžybose</t>
  </si>
  <si>
    <t>Regionų krepšinio lygos varžybose dalyvavo vyrų VšĮ krepšinio akademijos „Saulė" krepšinio komanda.</t>
  </si>
  <si>
    <t>Krepšinio plėtros programoje rengiamų sportininkų</t>
  </si>
  <si>
    <t>2022 metais buvo rengiami 561 krepšinio sporto šakos sportininkai.</t>
  </si>
  <si>
    <t>07.01.01.10.01</t>
  </si>
  <si>
    <t>Įgyvendinti futbolo sporto šakos plėtros ir populiarinimo programą</t>
  </si>
  <si>
    <t>07.01.01.10.02</t>
  </si>
  <si>
    <t>Įgyvendinti krepšinio sporto šakos plėtros ir populiarinimo programą</t>
  </si>
  <si>
    <t>07.01.01.11</t>
  </si>
  <si>
    <t>Plėtoti sporto įstaigų veiklą</t>
  </si>
  <si>
    <t>Sporto įstaigose rengiamų sportininkų</t>
  </si>
  <si>
    <t>Šiaulių miesto biudžetines sporto įstaigose buvo rengiami  2806 sportininkai.</t>
  </si>
  <si>
    <t>Šiaulių miesto biudžetines sporto įstaigose buvo 45 suaugusiųjų Lietuvos rinktinių nariai.</t>
  </si>
  <si>
    <t>Šiaulių miesto biudžetines sporto įstaigose buvo 161 jaunučių, jaunių ir jaunimo Lietuvos rinktinių narys.</t>
  </si>
  <si>
    <t>07.01.06.</t>
  </si>
  <si>
    <t>Modernizuoti ir sukurti sporto infrastruktūrą</t>
  </si>
  <si>
    <t>07.01.06.01</t>
  </si>
  <si>
    <t>Pastatyti sporto kompleksą (futbolo ir regbio maniežą)</t>
  </si>
  <si>
    <t>Parengtas techninis projektas</t>
  </si>
  <si>
    <t>Atlikti darbų: Projektinių pasiūlymų parengimas, Detaliojo plano koregavimas</t>
  </si>
  <si>
    <t>Atlikta darbų</t>
  </si>
  <si>
    <t>Po projekto ekspertizės bus perkami rangos darbai.</t>
  </si>
  <si>
    <t>1.07.</t>
  </si>
  <si>
    <t>07.01.06.05</t>
  </si>
  <si>
    <t>Modernizuoti plaukimo centro „Delfinas" (Ežero 11A) pastatą</t>
  </si>
  <si>
    <t>Pabaigti numatyti darbai. Pakeista plaukimo baseino technologinė įranga, vidaus vandentiekis, nuotekų šalinimas, elektrotechnika ir įrengta procesų valdymo ir automatizavimo sistema.</t>
  </si>
  <si>
    <t>07.01.06.06</t>
  </si>
  <si>
    <t>Suremontuoti Šiaulių m. stadioną ir pastatų patalpas (S. Daukanto g. 23)</t>
  </si>
  <si>
    <t>Suremontuoti Šiaulių miesto stadiono pastato persirengimo rūbines, atlikta darbų</t>
  </si>
  <si>
    <t>Suremontuotos vyrų ir moterų rūbinės, dušinės, bei teisėjų patalpa (dušo ir tualeto patalpos)</t>
  </si>
  <si>
    <t>07.01.06.08</t>
  </si>
  <si>
    <t>Futbolo aikščių rekonstrukcija (Kviečių g. 7A ir Kviečių g. 9)</t>
  </si>
  <si>
    <t>Pakeista dirbtinė aikštės danga, restauruotas pagrindas, praplėsti aikštės matmenys.</t>
  </si>
  <si>
    <t>07.01.07.</t>
  </si>
  <si>
    <t>Skatinti gyventojų fizinio aktyvumo veiklas</t>
  </si>
  <si>
    <t>07.01.07.01</t>
  </si>
  <si>
    <t>Sudaryti sąlygas didinti fizinio aktyvumo renginių bei veiklų prieinamumą ir aprėptį</t>
  </si>
  <si>
    <t>Vykdytose fizinio aktyvumo veiklose dalyvaujančių dalis nuo bendro Šiaulių miesto gyventojų skaičiaus</t>
  </si>
  <si>
    <t>Pagal Šiaulių miesto sporto organizacijų pateiktus statistinius duomenis fizinio aktyvumo veiklose dalyvavo     10 125 asmenys. 2022 metais bendras Šiaulių mieste gyventojų skaičius buvo 101756.</t>
  </si>
  <si>
    <t>07.01.07.02</t>
  </si>
  <si>
    <t>Mokyti vaikus plaukti ir saugiai elgtis vandenyje ir prie vandens</t>
  </si>
  <si>
    <t>Išmokytų plaukti vaikų dalis nuo bendro 1–4 klasių mokinių skaičiaus Šiaulių miesto bendrojo ugdymo mokyklose</t>
  </si>
  <si>
    <t>Plaukimo įgūdžių pagrindai buvo suteikti 1070 mokiniams. Švietimo skyriaus duomenimis Šiaulių mieste mokėsi 4880 1-4 klasių mokiniai.</t>
  </si>
  <si>
    <t>08.</t>
  </si>
  <si>
    <t>Švietimo prieinamumo ir kokybės užtikrinimo programa</t>
  </si>
  <si>
    <t>08.01.</t>
  </si>
  <si>
    <t>Plėtoti inovatyvią švietimo sistemą, ugdančią aktyvią ir kūrybingą asmenybę</t>
  </si>
  <si>
    <t>Sudarytos sąlygos kokybiškam ugdymo procesui</t>
  </si>
  <si>
    <t>Užtikrinta švietimo pagalba kiekvienam mokiniui</t>
  </si>
  <si>
    <t>08.01.01.</t>
  </si>
  <si>
    <t>Gerinti švietimo prieinamumą ir pristatyti švietimo veiklą</t>
  </si>
  <si>
    <t>08.01.01.01</t>
  </si>
  <si>
    <t>Atstovauti miestui, pristatyti švietimo veiklą, organizuoti renginius</t>
  </si>
  <si>
    <t>Tradicinių mokytojų ir mokinių renginių</t>
  </si>
  <si>
    <t>Lėšos panaudotos regioninei dainų šventei , Dainų dainelės dalyvių vežimui ir transporto nuomai,  Švietimo forumui ir Menų mokyklai renginių organizavimui (20,5 tūkst. eurų).</t>
  </si>
  <si>
    <t>Olimpiadų dalyvių</t>
  </si>
  <si>
    <t>Įteikta premijų ,,Metų mokytojas“</t>
  </si>
  <si>
    <t>Atrinkta 10 miesto metų mokytojų. Suorganizuotas apdovanojimų vakaras (20,0 tūkst. eurų).</t>
  </si>
  <si>
    <t>Vieną ir daugiau 100 balų įvertinimą gavusių mokinių</t>
  </si>
  <si>
    <t>Vieną ir daugiau 100 balų įvertinimą gavo 55 miesto abiturientai (5,5 tūkst. eurų).</t>
  </si>
  <si>
    <t>Švietimo lyderystės ir pagalbos programų dalyvių</t>
  </si>
  <si>
    <t>Švietimo įstaigų vadovų mokymai: bendrojo vertinimo modelio diegimas, švietimo įstaigų vadovų mentorių rengimas, vadovų studijų parama (32 tūkst. eurų).</t>
  </si>
  <si>
    <t>Pirmoko krepšelį gavusių mokinių</t>
  </si>
  <si>
    <t>Pirmoko krepšelių išdalinta daugiau nei planuota, nes padidėjo mokinių skaičius dėl imigravusių ukrainiečių vaikų (53,4 tūkst. eurų).</t>
  </si>
  <si>
    <t>08.01.01.02</t>
  </si>
  <si>
    <t>Užtikrinti skaitmeninę plėtrą bendrojo ugdymo mokyklose</t>
  </si>
  <si>
    <t>Sukurtos skaitmeninės mokymosi aplinkos, naudojamos skaitmeninės mokymo priemonės mokyklose</t>
  </si>
  <si>
    <t>Lėšos panaudotos pedagogų mokymams - 23,8 tūkst. eurų ir Eduka klasės licencijoms - 53,5 tūkst. eurų. Skaitmeninių mokymosi aplinkų paslaugų teikimas pabaigtas 2022 metais, vėliau mokyklos naudojasi skaitmeninėmis aplinkomis pagal savo poreikius.</t>
  </si>
  <si>
    <t>08.01.01.03</t>
  </si>
  <si>
    <t>Užtikrinti švietimo elektroninės apskaitos ir registracijos sistemų funkcionavimą</t>
  </si>
  <si>
    <t>Įstaigų objektų, kuriuose įdiegta ir atnaujinta veikianti apskaitos sistema</t>
  </si>
  <si>
    <t>Sukurta ir patobulinta priėmimo į bendrojo ugdymo mokyklas sistema, sumokėtos lėšos už neformaliojo švietimo ir kitų mokamų paslaugų elektroninės apskaitos sistemos priežiūrą, aptarnavimą ir integraciją su vienu elektroniniu dienynu.</t>
  </si>
  <si>
    <t>Nevalstybinių švietimo įstaigų ir laisvųjų mokytojų įgyvendinamų neformaliojo vaikų švietimo programų</t>
  </si>
  <si>
    <t>Metų pradžioje buvo vykdoma 40 programų, 2022 m. pabaigoje - IV ketvirtyje, buvo vykdomos 63 programos.</t>
  </si>
  <si>
    <t>Sukurta ir veikianti priėmimo į bendrojo ugdymo mokyklas sistema</t>
  </si>
  <si>
    <t>Metų pradžioje įvykdžius viešuosius pirkimus sukurta ir vasarą patobulinta priėmimo į bendrojo ugdymo mokyklas sistema.</t>
  </si>
  <si>
    <t>Sukurta ir veikianti priėmimo į ikimokyklinio ugdymo įstaigas sistema</t>
  </si>
  <si>
    <t>Sukurta ir veikianti priėmimo į ikimokyklinio ugdymo įstaigas sistema.</t>
  </si>
  <si>
    <t>Sukurta ir veikianti priėmimo į neformaliojo švietimo mokyklas sistema</t>
  </si>
  <si>
    <t>Sukurta ir veikianti SKU modelio apskaitos sistema</t>
  </si>
  <si>
    <t>Sukurta ir veikianti SKU modelio apskaitos sistema.</t>
  </si>
  <si>
    <t>08.01.01.04</t>
  </si>
  <si>
    <t>Įgyvendinti projektą „Ugdymo karjerai sistemos tobulinimas Šiaulių miesto savivaldybės bendrojo ugdymo mokyklose“</t>
  </si>
  <si>
    <t>Projekto dalyvių</t>
  </si>
  <si>
    <t>Įgyvendinant projekto veiklas 2022 m. įvykdyti 63 asmenų mobilumai . Projekto veiklos pilnai baigtos, pasiekti visi planuoti rezultatai.</t>
  </si>
  <si>
    <t>08.01.01.05</t>
  </si>
  <si>
    <t>Vykdyti Šiaulių miesto savivaldybės, jos teritorijoje veikiančių aukštųjų mokyklų, Šiaulių profesinio rengimo centro, verslo įmonių ir švietimo įstaigų bendradarbiavimo programas</t>
  </si>
  <si>
    <t>STEAM ir STEAM JUNIOR programos grupių</t>
  </si>
  <si>
    <t>STEAM Junior 25 programose dalyvavo 712 mokinių, STEAM  30 programų dalyvavo 623 mokiniai.  2022 m. pradėta įgyvendinti STEAM+ programa, dalyvavo 1386 mokiniai, 278 pedagogai (167,5 tūkst. eurų).</t>
  </si>
  <si>
    <t>INOSTART programų</t>
  </si>
  <si>
    <t>Šiaulių valstybinė kolegijos programos ,,Mobilaus logistinio roboto kinematinės ir autonominio valdymo sistemos optimizavimas“, ,,Gamybinės įmonės konvejerio darbų optimizavimo sistema“, ,,iEMS (internal/integrated employee management system)“ (9,0 tūkst. Eur)</t>
  </si>
  <si>
    <t>Inžinerijos ir informatikos mokslų krypties studijų Šiaulių mieste parama kviestiniams dėstytojams, skatinamųjų stipendijų</t>
  </si>
  <si>
    <t>Skirta finansinė parama keliems kviestiniams dėstytojams, atvykusiems dėstyti paskaitų į Šiaulių miesto savivaldybės teritorijoje veikiančias aukštąsias mokyklas . Šiaulių valstybinės kolegijos 3 studentams skirtos skatinamosios stipendijos (6,4 tūkst. eurų).</t>
  </si>
  <si>
    <t>Pritaikytų erdvių integruotam gamtos mokslų ugdymui ir Šiaulių miesto bendruomenės švietimui programų</t>
  </si>
  <si>
    <t>Programą ,,Gamtos laboratorija Šiauliuose“ įgyvendino Vilniaus universiteto Šiaulių akademijos Botanikos sodas (100,0 tūkst. Eur)</t>
  </si>
  <si>
    <t>Viešųjų ryšių akcijos „Šiauliai – sėkmingos karjeros miestas“ priemonių</t>
  </si>
  <si>
    <t>Šiaulių techninės kūrybos centras organizavo tarptautinę STEAM konferenciją ,,EdStart Šiauliai 2022“ ir tarptautines robotų varžybos ,,Robomūšis“, respublikinė konferencija  ,,Atrask Šiaulių STEAM: erdvė kurti ir tobulėti“, konferencijoje skaitytas pranešimas ,,STEAM tinklas Šiauliuose - įgalinančios iniciatyvos", socialinių tinklų komunikacija  ,,Šiauliai - karjeros miestas", parengti pažymėjimai STEAM veiklų dalyviams, skaitytas pranešimas BU mokyklų vadovams apie naują profesinio orientavimo teikimo tvarką (6,8 tūkst. eurų).</t>
  </si>
  <si>
    <t>Studentų, kuriems skirta studijų parama</t>
  </si>
  <si>
    <t>Studijų paramą gavo 30 studentų: 10 studentų studijas baigė birželio mėn., 20 studentų pasirašė studijų paramos sutartis spalio mėn. ir Savivaldybės studijų paramą gaus visą studijų laikotarpį (23,0 tūkst. eurų).</t>
  </si>
  <si>
    <t>STEAM renginių ir varžybų</t>
  </si>
  <si>
    <t>Šiaulių techninės kūrybos centras organizavo tarptautinę STEAM konferenciją ,,EdStart Šiauliai 2022“ ir tarptautines robotų varžybos ,,Robomūšis“, respublikinė konferencija  ,,Atrask Šiaulių STEAM: erdvė kurti ir tobulėti“.</t>
  </si>
  <si>
    <t>Kasmet įgyvendinta ankstyvojo profesinio informavimo programa "OPA" pradinių klasių mokiniams</t>
  </si>
  <si>
    <t>Įvyko 117 užsiėmimų, dalyvavo  2332 mokinių (6,8 tūkst. eurų).</t>
  </si>
  <si>
    <t>Įgyvendinta  Tarpinstitucinio bendradarbiavimo žmogiškųjų išteklių plėtros programa</t>
  </si>
  <si>
    <t>Šiaulių prekybos, pramonės ir amatų rūmai įgyvendino programą ,,Šiauliai VIP. Vystome inžinerines profesijas“: organizuotos komunikacijos kampanijos, skatinančios karjerai rinktis Šiaulius, organizuoti informaciniai ir patirtiniai renginiai moksleiviams ir jų tėvams, pristatantys profesijas, miesto įmonėse kuriančias aukštą pridėtinę vertę, rengtos viešos diskusijos, kviečiančios verslo įmones ir mokymo įstaigas aptarti, kaip verslas galėtų prisidėti prie aktualių studijų / mokymo programų rėmimo (10,0 tūkst. eurų).</t>
  </si>
  <si>
    <t>Suorganizuota technologijų pamokų</t>
  </si>
  <si>
    <t>Technologijų pamokose dalyvavo 997 mokiniai (3,8 tūkst. eurų).</t>
  </si>
  <si>
    <t>Kasmet įgyvendintų aukštųjų mokyklų bendradarbiavimo programų</t>
  </si>
  <si>
    <t>Programą įgyvendino Vilniaus universiteto Šiaulių akademija su programa ,,STEAM ugdymas lyderystei: STEAMukas šviesos karalystėje“ ir Šiaulių valstybinė kolegija su programa ,,Inžinerinio raštingumo LAB'as“ (30,0 tūkst. eurų).</t>
  </si>
  <si>
    <t>08.01.01.06</t>
  </si>
  <si>
    <t>Vykdyti suaugusiųjų neformaliojo švietimo programas</t>
  </si>
  <si>
    <t>Programos dalyvių</t>
  </si>
  <si>
    <t>"Įgyvendintos 8 programos: VšĮ „Menoja“ programai „Menojos keramikos studija“ , VšĮ Šiaulių Trečiojo amžiaus universiteto programai „Humanitarinio ir Dvasinio tobulėjimo fakultetų jungtinė programa“ ; VšĮ Šiaulių Trečiojo amžiaus universiteto programai „Žmogaus ir socialinės aplinkos pažinimo ir sveikatos fakultetų jungtinė programa“; Šiaulių  profesinio rengimo centro programai „Tvarios mados produktų kūrimas“; Šiaulių valstybinės kolegijos programai „Medijų ir informacinis raštingumas“ ; VšĮ Šiaurės Lietuvos kolegijos programai „Išmanus senjoras – informacinės technologijos patogesniam ir saugesniam gyvenimui“; Šiaulių jaunųjų gamtininkų centro programai „EKO sąmoningumo stovykla“; VšĮ Žmogiškųjų išteklių stebėsenos ir plėtros biuro – „Suaugusiųjų kompiuterinio raštingumo ir informacinių technologijų įgūdžių ugdymas stiprinant integraciją į visuomenę ir darbo rinką“ .</t>
  </si>
  <si>
    <t>08.01.01.07</t>
  </si>
  <si>
    <t>Užtikrinti Šiaulių miesto reprezentacinių renginių organizavimą</t>
  </si>
  <si>
    <t>Suorganizuotų reprezentacinių renginių</t>
  </si>
  <si>
    <t>Lėšos skirtos Katalikiškų šeimų šventei, S. Sondeckio smuikininkų festivaliui, tarptautiniam šokio festivaliui-konkursui ,,Aušrinė žvaigždė“, festivaliui ,,Tavo PIN kodas“, švietimo, mokslo ir verslo partnerystės renginių ciklui ,,Šiauliai Smart“.</t>
  </si>
  <si>
    <t>08.01.03.</t>
  </si>
  <si>
    <t>Sudaryti sąlygas kokybiškam ugdymo procesui</t>
  </si>
  <si>
    <t>08.01.03.01</t>
  </si>
  <si>
    <t>Užtikrinti švietimo įstaigų veiklą (ML 98% + SB)</t>
  </si>
  <si>
    <t>Bendrojo ugdymo mokyklų</t>
  </si>
  <si>
    <t>Ugdymui ir ugdymo aplinkai skirtų lėšų įsisavinimas bendrojo ugdymo mokyklose.</t>
  </si>
  <si>
    <t>Miesto bendrojo ugdymo mokyklose mokinių</t>
  </si>
  <si>
    <t>Mokinių skaičius išaugo dėl karo iš Ukrainos pasitraukusių mokinių.</t>
  </si>
  <si>
    <t>Veikiantis Švietimo centras</t>
  </si>
  <si>
    <t>1.03.</t>
  </si>
  <si>
    <t>Suformatuotų, atspausdintų ir išduotų naujų elektroninių mokinio pažymėjimų</t>
  </si>
  <si>
    <t>Dalyvavusių pedagogų mokymuose dirbti informacinėmis technologijomis, asmeninių ir profesinių gebėjimų kursuose</t>
  </si>
  <si>
    <t>Tarnyba, teikianti pedagoginę psichologinę pagalbą vaikams ir mokiniams</t>
  </si>
  <si>
    <t>Įstaigų, kuriose įsteigti karjeros specialisto etatai</t>
  </si>
  <si>
    <t>Vidutiniškai vienam mokiniui tenkantis plotas</t>
  </si>
  <si>
    <t>Mokinių, dalyvaujančių ,,Kultūros krepšelio“ edukaciniuose užsiėmimuose Šiaulių regiono muziejuose ir kitose kultūros įstaigose</t>
  </si>
  <si>
    <t>Mokinių, lankančių IT, robotikos, inžinerijos neformaliojo ugdymo būrelius, dalis nuo bendro mokinių skaičiaus</t>
  </si>
  <si>
    <t>08.01.03.02</t>
  </si>
  <si>
    <t>Tenkinti mokymo reikmes (ML  2% )</t>
  </si>
  <si>
    <t>Ikimokyklinio ir bendrojo ugdymo mokyklų, kuriose tenkinamos ugdymo reikmės</t>
  </si>
  <si>
    <t>Mokyklų, įdiegusių socialinių kompetencijų ugdymo modelį</t>
  </si>
  <si>
    <t>08.01.03.02.01</t>
  </si>
  <si>
    <t>Organizuoti ir vykdyti mokymosi pasiekimų patikrinimą (ML 2%)</t>
  </si>
  <si>
    <t>Egzaminų vykdytojų ir vertintojų</t>
  </si>
  <si>
    <t>Skiriamos valstybės biudžeto lėšos mokymosi pasiekimų patikrinimams organizuoti ir vykdyti.</t>
  </si>
  <si>
    <t>08.01.03.02.02</t>
  </si>
  <si>
    <t>Užtikrinti ugdymo finansavimo poreikių skirtumo sumažimą (ML 2%)</t>
  </si>
  <si>
    <t>Ikimokyklinio ir bendrojo ugdymo mokyklų, kuriose mažinami ugdymo finansavimo poreikių skirtumai</t>
  </si>
  <si>
    <t>Iš ŠMSM bendrojo ugdymo mokyklų tinklo stiprinimo iniciatyvoms skatinti, t. y. pedagoginių darbuotojų išeitinėms išmokoms, kai darbo sutartys nutraukiamos dėl mokyklų tinklo pertvarkos, o patenkinus šį poreikį - ugdymo finansavimo poreikių skirtumams tarp mokyklų sumažinti, buvo gauta 225,4 tūkst. eurų. Lėšos paskirstytos pagal gautus švietimo įstaigų prašymus.</t>
  </si>
  <si>
    <t>08.01.03.03</t>
  </si>
  <si>
    <t>Organizuoti mokinių vežimą</t>
  </si>
  <si>
    <t>Mokinių, kuriems kompensuojamas važiavimas į mokyklą</t>
  </si>
  <si>
    <t>Kompensuojamos ne Šiaulių miesto savivaldybės teritorijoje gyvenančių mokinių išlaidos už važiavimą į (iš) mokyklą.</t>
  </si>
  <si>
    <t>08.01.03.04</t>
  </si>
  <si>
    <t>Užtikrinti viešųjų įstaigų, įgyvendinančių bendrąsias ir specialiąsias ugdymo programas bei nevalstybinių tradicinių religinių bendruomenių ir bendrijų mokyklų veiklą (ML 98 % + SB)</t>
  </si>
  <si>
    <t>VšĮ ugdymo įstaigų (,,Smalsieji pabiručiai“ ir Šiaulių jėzuitų mokykla)</t>
  </si>
  <si>
    <t>Nevalstybinių tradicinių religinių bendruomenių ir bendrijų mokyklų</t>
  </si>
  <si>
    <t>08.01.03.04.01</t>
  </si>
  <si>
    <t>Finansuoti VšĮ Šiaulių jėzuitų mokyklą</t>
  </si>
  <si>
    <t>Viešųjų įstaigų</t>
  </si>
  <si>
    <t>08.01.03.04.02</t>
  </si>
  <si>
    <t>Finansuoti VšĮ „Smalsieji pabiručiai“</t>
  </si>
  <si>
    <t>08.01.03.04.03</t>
  </si>
  <si>
    <t>Finansuoti nevalstybines tradicinių religinių bendruomenių ir bendrijų mokyklas</t>
  </si>
  <si>
    <t>08.01.03.05</t>
  </si>
  <si>
    <t>Įgyvendinti projektą „Gerinti mokinių pasiekimus diegiant kokybės krepšelį“</t>
  </si>
  <si>
    <t>Projekte dalyvaujančių mokyklų</t>
  </si>
  <si>
    <t>Projektas įgyvendinamas šešiose miesto mokyklose: ,,Santarvės“, ,,Saulėtekio“, Stasio Šalkauskio gimnazijose ir ,,Rasos“, Salduvės, Vinco Kudirkos progimnazijose.</t>
  </si>
  <si>
    <t>08.01.03.06</t>
  </si>
  <si>
    <t>Vykdyti neformaliojo vaikų švietimo programas</t>
  </si>
  <si>
    <t>Neformaliojo vaikų švietimo mokyklų</t>
  </si>
  <si>
    <t>Ugdymui ir ugdymo aplinkai skirtų lėšų įsisavinimas vaikų neformaliojo švietimo mokyklose.</t>
  </si>
  <si>
    <t>Vaikų, lankančių neformaliojo vaikų švietimo mokyklas</t>
  </si>
  <si>
    <t>Neformaliojo vaikų švietimo teikėjų</t>
  </si>
  <si>
    <t>Nevalstybinių švietimo įstaigų ir laisvųjų mokytojų įgyvendinamų neformaliojo vaikų švietimo programas lankančių vaikų</t>
  </si>
  <si>
    <t>Neformaliojo vaikų švietimo programų</t>
  </si>
  <si>
    <t>FŠPU dalyvaujančių 1-12 klasių mokinių</t>
  </si>
  <si>
    <t>08.01.03.07</t>
  </si>
  <si>
    <t>Užtikrinti neformaliojo vaikų švietimo teikėjų programų vykdymą (ŠMSM - 15 Eur/mėn.)</t>
  </si>
  <si>
    <t>Ugdymui skirtų lėšų įsisavinimas nevalstybinėse švietimo įstaigose ir laisvųjų mokytojų vykdomose neformaliojo vaikų švietimo programose.</t>
  </si>
  <si>
    <t>08.01.03.08</t>
  </si>
  <si>
    <t>Kompensuoti tėvų atlyginimą už neformalųjį vaikų švietimą savivaldybės įstaigose</t>
  </si>
  <si>
    <t>Atlyginimo lengvatą už neformalųjį vaikų švietimą  gaunančių vaikų</t>
  </si>
  <si>
    <t>Kompensuojamas tėvų atlyginimas už  neformalųjį vaikų švietimą savivaldybės įstaigose.</t>
  </si>
  <si>
    <t>08.01.03.09</t>
  </si>
  <si>
    <t>Užtikrinti ikimokyklinį ir priešmokyklinį ugdymą</t>
  </si>
  <si>
    <t>Ikimokyklinio ugdymo įstaigų</t>
  </si>
  <si>
    <t>Ugdymui ir ugdymo aplinkai skirtų lėšų įsisavinimas ikimokyklinio ugdymo įstaigose.</t>
  </si>
  <si>
    <t>Pagal ikimokyklinę programą ugdomų vaikų</t>
  </si>
  <si>
    <t>08.01.03.10</t>
  </si>
  <si>
    <t>Kompensuoti tėvų atlyginimą už vaiko išlaikymą įstaigoje</t>
  </si>
  <si>
    <t>Ikimokyklinio ugdymo įstaigose lengvatas gaunančių vaikų</t>
  </si>
  <si>
    <t>Kompensuojamas tėvų atlyginimas už vaiko išlaikymą ikimokyklinėje įstaigoje.</t>
  </si>
  <si>
    <t>08.01.03.11</t>
  </si>
  <si>
    <t>Užtikrinti ikimokyklinio ugdymo programų įgyvendinimą Šiaulių miesto nevalstybinėse švietimo įstaigose (70 Eur/mėn.)</t>
  </si>
  <si>
    <t>Nevalstybines švietimo įstaigas, įgyvendinančias ikimokyklinio ugdymo programas, lankančių ugdytinių</t>
  </si>
  <si>
    <t>Finansuojamos ikimokyklinio ugdymo programos, kurias įgyvendina Šiaulių miesto nevalstybinės švietimo įstaigos.</t>
  </si>
  <si>
    <t>08.01.03.12</t>
  </si>
  <si>
    <t>Finansuoti ikimokyklinio ir priešmokyklinio ugdymo programas vykdančias viešąsias įstaigas</t>
  </si>
  <si>
    <t>08.01.03.12.01</t>
  </si>
  <si>
    <t>Finansuoti VšĮ „Garso servisas“</t>
  </si>
  <si>
    <t>08.01.03.12.02</t>
  </si>
  <si>
    <t>Finansuoti VšĮ „Mažieji šnekoriai“</t>
  </si>
  <si>
    <t>08.01.03.12.03</t>
  </si>
  <si>
    <t>Finansuoti VšĮ „Mūsų kiemelis“</t>
  </si>
  <si>
    <t>08.01.03.12.04</t>
  </si>
  <si>
    <t>Finansuoti VšĮ Šiaulių Valdorfo darželio-mokyklos bendruomenė</t>
  </si>
  <si>
    <t>08.01.03.12.05</t>
  </si>
  <si>
    <t>Finansuoti VšĮ „Kiškių miškas“</t>
  </si>
  <si>
    <t>08.01.03.13</t>
  </si>
  <si>
    <t>Įgyvendinti vaikų ir jaunimo vasaros užimtumo programas</t>
  </si>
  <si>
    <t>Vasaros užimtumo programose dalyvaujančių vaikų</t>
  </si>
  <si>
    <t>Finansuojamos vaikų ir jaunimo poilsio stovyklos.</t>
  </si>
  <si>
    <t>08.01.03.14</t>
  </si>
  <si>
    <t>Švietimo pagalbos užtikrinimas švietimo įstaigose</t>
  </si>
  <si>
    <t>Specialiųjų ugdymosi poreikių turinčių mokinių, kuriems teikiama švietimo pagalba</t>
  </si>
  <si>
    <t>Lėšos skiriamos švietimo pagalbos specialisto pareigybei išlaikyti mokykloms, kurioms nepakanka mokymo lėšų skiriamų iš valstybės biudžeto.</t>
  </si>
  <si>
    <t>08.01.03.15</t>
  </si>
  <si>
    <t>Užtikrinti profesinio orientavimo paslaugų teikimą Šiaulių miesto bendrojo ugdymo mokyklose</t>
  </si>
  <si>
    <t>Mokyklų, kuriose dirba karjeros specilistai</t>
  </si>
  <si>
    <t>Karjeros specialistų etatų mokyklose</t>
  </si>
  <si>
    <t>08.05.</t>
  </si>
  <si>
    <t>Gerinti ugdymo sąlygas ir aplinką</t>
  </si>
  <si>
    <t>Įstaigų, kuriose atnaujintos aplinkos</t>
  </si>
  <si>
    <t>08.05.02.</t>
  </si>
  <si>
    <t>Atnaujinti ir modernizuoti švietimo įstaigų ugdymo aplinką</t>
  </si>
  <si>
    <t>08.05.02.16</t>
  </si>
  <si>
    <t>Rekonstruoti miesto gimnazijų ir mokyklų sporto aikštynus</t>
  </si>
  <si>
    <t>Atlikti "Rasos" progimnazijos sporto aikštyno atnaujinimo rangos darbai</t>
  </si>
  <si>
    <t>Atlikta apie 30% rangos darbų.</t>
  </si>
  <si>
    <t>Atlikti Gytarių progimnazijos sporto aikštyno atnaujinimo rangos darbai</t>
  </si>
  <si>
    <t>Įvyko projektavimo darbų konkursas. Vyksta projektavimo darbai, kurie finansuojami 11 programos lėšomis.</t>
  </si>
  <si>
    <t>Atlikti ,,Saulėtekio“ gimnazijos sporto aikštyno atnaujinimo darbai</t>
  </si>
  <si>
    <t>Parengtas projektas ir projekto ekspertizė.</t>
  </si>
  <si>
    <t>08.05.02.22</t>
  </si>
  <si>
    <t>Įgyvendinti projektą „Rėkyvos progimnazijos rekonstrukcija ir aplinkos gerinimas“</t>
  </si>
  <si>
    <t>Atlikta planuotų mokyklos rekonstravimo darbų</t>
  </si>
  <si>
    <t>2022 m. užbaigta naujojo priestato statyba, įrengta lauko krepšinio aikštelė, įrengta automobilių stovėjimo aikštelė, įrengta dalis takų, pradėti senojo pastato atnaujinimo darbai, kurių metu apšiltinta dalis fasado, pakeista dalis stogo konstrukcijos ir dangos, pakeista elektros instaliacija.</t>
  </si>
  <si>
    <t>08.05.02.23</t>
  </si>
  <si>
    <t>Tvarkyti švietimo įstaigų teritorijų dangas ir įvažiavimus</t>
  </si>
  <si>
    <t>Švietimo įstaigų, kuriose atnaujintos teritorijų dangos ir įvažiavimai (Gegužių progimnazija, l/d „Pasaka“, Lieporių gimnazija, l/d „Coliukė“, „Dainelė“ ir kt.)</t>
  </si>
  <si>
    <t>Įrengta kiemo aikštelė Pakalnės g. 6A ir atnaujinta Gegužių progimnazijos dalis teritorijos dangos.</t>
  </si>
  <si>
    <t>08.05.02.24</t>
  </si>
  <si>
    <t>Atnaujinti švietimo įstaigų teritorijų lauko įrenginius ir aptvėrimą</t>
  </si>
  <si>
    <t>Švietimo įstaigų, kuriose atnaujinti lauko įrenginiai ir aptvertos teritorijos (Gegužių, Rėkyvos progimnazijos ir kt.)</t>
  </si>
  <si>
    <t>.Suremontuotas lopšelio-darželio ,,Drugelis“ aptvėrimas.</t>
  </si>
  <si>
    <t>Švietimo įstaigų, kuriose atnaujintas lauko apšvietimas (l/d „Pasaka“, „Kregždutė“, P. Avižonio ugdymo centras, Centro pradinė mokykla,  l/d „Berželis“, ,„Vaikystė“,  „Varpelis“, „Ąžuoliukas“ ir kt.)</t>
  </si>
  <si>
    <t>Įrengtas kiemo apšvietimas (Centro pradinė mokykla, l-d "Berželis", "Pasaka", "Trys nykštukai", "Žiogelis").</t>
  </si>
  <si>
    <t>08.05.02.31</t>
  </si>
  <si>
    <t>Atnaujinti švietimo įstaigų pastatus, patalpas, įrangą ir komunikacijas</t>
  </si>
  <si>
    <t>Švietimo įstaigų, atnaujinusių  virtuves ir įrangą (Zoknių progimnazija, Šiaulių universitetinė gimnazija, ,,Santarvės“  gimnazija , Centro pradinės mokykla, ir kt.)</t>
  </si>
  <si>
    <t>Įranga atnaujinta Zoknių progimnazijos, Šiaulių universitetinės gimnazijos virtuvėse.</t>
  </si>
  <si>
    <t>Įstaigų, kurių pastatams apšiltintos sienos ("Trys nykštukai", "Varpelis", "Vaikystė" ir kt.)</t>
  </si>
  <si>
    <t>Apšiltintos lopšelio-darželio ,,Eglutė“ sienos.</t>
  </si>
  <si>
    <t>Atnaujinta vėdinimo sistema ir lauko laiptai (P. Avižonio ugdymo centras, Gytarių, Salduvės progimnazijos, Šiaulių universitetinė gimnazija)</t>
  </si>
  <si>
    <t>Vėdinimo sistemos atnaujintos Salduvės progimnazijoje ir lopšelyje-darželyje ,,Drugelis“.</t>
  </si>
  <si>
    <t>Įstaigų, kuriose atliktas vamzdynų remontas (l/d „Varpelis“, „Trys nykštukai“, "Eglutė", Centro pr. mokykla ir kt.)</t>
  </si>
  <si>
    <t>Vamzdynų remontas atliktas lopšeliuose-darželiuose ,,Trys nykštukai“, ,,Bitė“, ,,Ežerėlis“. Lopšeliui-darželiui ,,Varpelis“ paruoštas vamzdynų remonto projektas.</t>
  </si>
  <si>
    <t>Įstaigų, kuriose atliktas elektros instaliacijos remontas (l/d „Ąžuoliukas“ II korpusas, "Berželis", "Drugelis" ir kt.)</t>
  </si>
  <si>
    <t>Elektros instaliacijos remontas atliktas lopšelyje-darželyje ,,Vaikystė“. Lopšelio-darželio ,,Ąžuoliukas“ II korpusui paruoštas elektros instaliacijos remonto projektas.</t>
  </si>
  <si>
    <t>08.05.02.41</t>
  </si>
  <si>
    <t>Įgyvendinti projektą „Didždvario gimnazijos pastato remontas“</t>
  </si>
  <si>
    <t>Atlikta planuotų gimnazijos remonto darbų</t>
  </si>
  <si>
    <t>08.05.02.52</t>
  </si>
  <si>
    <t>Įgyvendinti projektą „Šiaulių Didždvario gimnazijos ir Šiaulių „Juventos“ progimnazijos ugdymo aplinkos modernizavimas“</t>
  </si>
  <si>
    <t>Atlikta patikra vietoje, neatitikimų nenustatyta. Atsiradus lėšų likučiui regione, inicijuotos procedūros dėl papildomo finansavimo skyrimo projektui. Formalios papildomo finansavimo skyrimo procedūros nebuvo baigtos 2022 m., todėl projekto veiklos persikelia į 2023 m. Atsiradus galimybei projektui panaudoti papildomas lėšas, bus įsigyjama nauja įranga ar baldai.</t>
  </si>
  <si>
    <t>08.05.02.53</t>
  </si>
  <si>
    <t>Įgyvendinti projektą „Lopšelio darželio „Kregždutė" modernizavimas“</t>
  </si>
  <si>
    <t>Atnaujintų įstaigų skaičius</t>
  </si>
  <si>
    <t>Atlikta patikra vietoje, neatitikimų nenustatyta. Atsiradus lėšų likučiui regione, inicijuotos procedūros dėl papildomo finansavimo skyrimo projektui. Įvykdžius visus planuotus pirkimus susidarė lėšų sutaupymas. Pateiktas prašymas CPVA dėl sutaupytų lėšų naudojimo, todėl projekto veiklos persikelia į 2023 m. Atsiradus galimybei projektui panaudoti sutaupytas lėšas, bus kompensuojamos patirtos išlaidos už baldus.</t>
  </si>
  <si>
    <t>2022 m.: Įvykdžius visus planuotus pirkimus susidarė lėšų sutaupymas. Pateiktas prašymas CPVA dėl sutaupytų lėšų naudojimo, tačiau dar nepakeista projekto finansavimo sutartis. Atsiradus galimybei projektui panaudoti sutaupytas lėšas, bus kompensuojamos patirtos išlaidos už baldus.</t>
  </si>
  <si>
    <t>08.05.02.54</t>
  </si>
  <si>
    <t>Įgyvendinti projektą „Modernizuoti edukacines aplinkas Šiaulių 1-ojoje muzikos mokykloje ir Šiaulių dainavimo mokykloje „Dagilėlis“</t>
  </si>
  <si>
    <t>Atnaujintos neformaliojo ugdymo įstaigos</t>
  </si>
  <si>
    <t>Atlikta patikra vietoje, pažeidimų nenustatyta. Visos projekto veiklos baigtos, sutvarkyta dokumentacija.</t>
  </si>
  <si>
    <t>08.05.02.60</t>
  </si>
  <si>
    <t>Įgyvendinti švietimo įstaigų modernizavimo projektą</t>
  </si>
  <si>
    <t>Įrengti liftai švietimo įstaigose</t>
  </si>
  <si>
    <t>Įdiegtos hibridinės klasės bendrojo ugdymo mokyklose</t>
  </si>
  <si>
    <t>Įdiegta kondicionavimo įranga ikimokyklinio ugdymo įstaigose</t>
  </si>
  <si>
    <t>Švietimo įstaigose įrengtų saulės elektrinių</t>
  </si>
  <si>
    <t>Švietimo įstaigų stogų ekspertizės atliktos 2022 m. gruodžio mėn. Pratęsti projektų įgyvendinimo terminai.</t>
  </si>
  <si>
    <t>V. Kudirkos progimnazijoje įrengtos edukacinės aplinkos (ukrainiečių vaikams)</t>
  </si>
  <si>
    <t>08.05.02.60.01</t>
  </si>
  <si>
    <t>Gerinti švietimo paslaugų prieinamumą ir kokybę</t>
  </si>
  <si>
    <t>Parengti projektai Salduvės ir Ragainės progimnazijose.</t>
  </si>
  <si>
    <t>Įdiegtos hibridinės klasės bendrojo ugdymo mokyklose.</t>
  </si>
  <si>
    <t>Įrengta 238 vnt. kondicionierių.</t>
  </si>
  <si>
    <t>Įrengtos keturios klasės iš Ukrainos atvykusiems vaikams.</t>
  </si>
  <si>
    <t>08.05.02.60.02</t>
  </si>
  <si>
    <t>Atsinaujinančių energijos išteklių panaudojimas Šiaulių miesto švietimo įstaigose (saulės elektrinių įrengimas)</t>
  </si>
  <si>
    <t>08.05.02.61</t>
  </si>
  <si>
    <t>Įgyvendinti projektą „Savivaldybės viešųjų pastatų atnaujinimui teikiamų subsidijų panaudojimas“</t>
  </si>
  <si>
    <t>Atnaujinta (modernizuota) savivaldybės viešųjų pastatų</t>
  </si>
  <si>
    <t>Vykdyti rangos darbų konkursai. 2022 m. IV ketvirčio antroje pusėje pasirašytos rangos darbų sutartys dėl lopšelio darželio "Žiogelis", Centro pradinės mokyklos, Šiaulių sporto gimnazijos mokyklos pastatų modernizavimo darbų. Statybvietės perduotos 2022 m. pabaigoje.</t>
  </si>
  <si>
    <t>08.05.02.62</t>
  </si>
  <si>
    <t>Užtikrinti švietimo įstaigų pastatų ir vidaus patalpų avarinių situacijų šalinimą</t>
  </si>
  <si>
    <t>Pašalintos vidaus ir išorės pastatų, lauko aplinkos avarinės situacijos. Švietimo įstaigose</t>
  </si>
  <si>
    <t>2022 m. pasirašytos SB lėšų panaudojimo sutartys: LD ,,Gintarėlis" (šilumokaitis), LD ,,Bitė" (stogas), LD ,,Ežerėlis" (vamzdynas), Ragainės progimnazija (šulinėliai), Gytarių progimnazija (vėdinimo sistemos avarinė situacija), Rėkyvos progimnazija (avarinis stogas), ,,Santarvės" gimnazija (šilumokaitis), St. Šalkauskio gimnazija (avarinis stogas ir kaminas), Švietimo centras (administracinio pastato drenažo avarinė situacija),   V. Kudirkos progimnazija ( pagrindinio įėjimo laiptų avarinė situacija).</t>
  </si>
  <si>
    <t>08.05.02.64</t>
  </si>
  <si>
    <t>Atnaujinti mokyklų sporto sales</t>
  </si>
  <si>
    <t>Suremontuotų  sporto salių (ir pagalbinių patalpų) švietimo įstaigose (Ragainės, V. Kudirkos progimnazijose,  „Saulėtekio“ gimnazijoje)</t>
  </si>
  <si>
    <t>Suremontuota „Saulėtekio“ gimnazijos sporto salė. Lėšų likutis susidarė gimnazijai atlikus viešuosius pirkimus.</t>
  </si>
  <si>
    <t>08.05.02.65</t>
  </si>
  <si>
    <t>Atnaujinti Šiaulių jaunųjų gamtininkų centrą (Žuvininkų g.30)</t>
  </si>
  <si>
    <t>Parengtas projektas</t>
  </si>
  <si>
    <t>Pradėtas rengti įstaigos atnaujinimo projektas.</t>
  </si>
  <si>
    <t>09.</t>
  </si>
  <si>
    <t>Bendruomenės sveikatinimo programa</t>
  </si>
  <si>
    <t>09.01.</t>
  </si>
  <si>
    <t>Sudaryti palankias sąlygas miesto bendruomenei sveikatinti ir gerinti sveikatos priežiūros paslaugų kokybę ir prieinamumą</t>
  </si>
  <si>
    <t>Asmenų sergamumas, tenkantis 1000 savivaldybės gyventojų, skaičiaus pokytis per metus</t>
  </si>
  <si>
    <t>Higienos instituto duomenimis asmenų sergamumas, tenkantis 1000 Šiaulių miesto savivaldybės gyventojų 2019 m. - 921,8, 2020 m. - 866,4, 2021 m. - 911,2.</t>
  </si>
  <si>
    <t>09.01.01.</t>
  </si>
  <si>
    <t>Modernizuoti sveikatos priežiūros įstaigų infrastruktūrą</t>
  </si>
  <si>
    <t>09.01.01.05</t>
  </si>
  <si>
    <t>Įgyvendinti projektą „Energetinių charakteristikų gerinimas VšĮ Dainų pirminės sveikatos priežiūros centre"</t>
  </si>
  <si>
    <t>Parengta atnaujinimo (modernizavimo) techninė dokumentacija</t>
  </si>
  <si>
    <t>Atliktas instrumentų plovimo – dezinfekavimo mašinos viešasis pirkimas. 
Sudaryta Dainų PSPC modernizavimo darbų diegiant energetinio efektyvumo priemones projektavimo sutartis.</t>
  </si>
  <si>
    <t>09.01.01.11</t>
  </si>
  <si>
    <t>Įgyvendinti projektą „VšĮ Šiaulių ilgalaikio gydymo ir geriatrijos centro pastatų rekonstravimas, aktyvios ventiliacijos įrengimas, kiemo gerbūvio sutvarkymas ir maisto gamybos skyriaus modernizavimas"</t>
  </si>
  <si>
    <t>Atlikta senojo korpuso rekuperavimo ir kondicionavimo sistemos įrengimo darbų</t>
  </si>
  <si>
    <t>Atlikti senojo korpuso rekuperavimo ir kondicionavimo sistemos įrengimo darbai: įrengtos lubos, įrengta kondicionavimo sistema, vykdoma patalpų apdaila.</t>
  </si>
  <si>
    <t>Atlikta naujojo korpuso dalies rekuperavimo ir kondicionavimo sistemos įrengimo darbų</t>
  </si>
  <si>
    <t>09.01.01.13</t>
  </si>
  <si>
    <t>Modernizuoti VšĮ Šiaulių centro polikliniką</t>
  </si>
  <si>
    <t>Atlikta senojo Odotologijos korpuso fasado remonto darbų</t>
  </si>
  <si>
    <t>Atlikti gydymo paskirties odotologijos korpuso fasado remonto darbai.</t>
  </si>
  <si>
    <t>Atnaujinta vidaus patalpų ir odontologinės įrangos</t>
  </si>
  <si>
    <t>Atlikta naujojo Odontologijos korpuso fasado remonto darbų</t>
  </si>
  <si>
    <t>Įrengtas dienos chirurgijos centras</t>
  </si>
  <si>
    <t>Organizuotas tarptautinio pirkimo konkursas. Pradėti dienos chirurgijos centro įrengimo darbai: tikrinami pasiūlymai ir techninės specifikacijos.</t>
  </si>
  <si>
    <t>09.01.01.15</t>
  </si>
  <si>
    <t>Įgyvendinti projektą „Pirminės asmens sveikatos priežiūros veiklos efektyvumo didinimas Šiaulių mieste"</t>
  </si>
  <si>
    <t>Pacientų, kuriems pagerinta paslaugų kokybė ir prieinamumas</t>
  </si>
  <si>
    <t>Viešąsias sveikatos paslaugas teikiančios asmens sveikatos priežiūros įstaigos, kuriose modernizuota paslaugų teikimo infrastruktūra</t>
  </si>
  <si>
    <t>Atlikti mokėjimai už 20 stetofonendoskopų, 15 vnt. suaugusiųjų svarstyklių, 15 vnt. kūdikių svarstyklių, 10 bendrosios paciento apžiūros kušečių, 20 vnt. chirurginių žnyplių (korncangų), 50 vnt. kraujospūdžio matavimo aparatų su įvairaus dydžio manžetėmis, 2 vnt. akušerinis stetoskopų, 30 vnt. otorinooftalmoskopų, 2 ginekologines kėdes ir defibriliatorių Šiaulių centro poliklinikai.</t>
  </si>
  <si>
    <t>09.01.02.</t>
  </si>
  <si>
    <t>Plėtoti visuomenės sveikatos priežiūros paslaugas ir ugdyti visuomenės poreikį sveikai gyventi</t>
  </si>
  <si>
    <t>09.01.02.02</t>
  </si>
  <si>
    <t>Sukurti ir gerinti miesto bendruomenės sveikatinimo sąlygas, užtikrinant sveikatinimo projektų finansavimą</t>
  </si>
  <si>
    <t>Sveikatinimo iniciatyvose dalyvavusių asmenų</t>
  </si>
  <si>
    <t>Paskelbtas sveikatinimo projektų konkursas, pateikta 14 projektų paraiškų, sudaryta 10 sveikatinimo projektų vykdymo sutarčių.  Sveikatinimo iniciatyvose dalyvavo 7188 asmenys.</t>
  </si>
  <si>
    <t>09.01.02.03</t>
  </si>
  <si>
    <t>Įgyvendinti projektą „Sveikos gyvensenos skatinimas Šiaulių mieste"</t>
  </si>
  <si>
    <t>Tikslinių grupių asmenų, kurie dalyvavo informavimo, švietimo ir mokymo renginiuose bei sveikatos raštingumą didinančiose veiklose</t>
  </si>
  <si>
    <t>Šiaulių miesto savivaldybės visuomenės sveikatos biuro įgyvendinta paskutinė projekto „Sveikos gyvensenos skatinimas Šiaulių mieste“ veikla „Mokymas plaukti“, kurioje 29 antrų klasių mokiniai (unikalūs projekto dalyviai) išmokyti saugiai elgtis vandenyje ir taisyklingai plaukti.</t>
  </si>
  <si>
    <t>09.01.02.04</t>
  </si>
  <si>
    <t>Užtikrinti Visuomenės sveikatos biuro veiklą</t>
  </si>
  <si>
    <t>Privalomojo mokymo metu mokytų asmenų</t>
  </si>
  <si>
    <t>Privalomojo mokymo metu apmokyti 350 asmenų.</t>
  </si>
  <si>
    <t>09.01.02.05</t>
  </si>
  <si>
    <t>Plėtoti sveiką gyvenseną bei stiprinti sveikos gyvensenos įgūdžius ugdymo įstaigose ir bendruomenėse, vykdyti visuomenės sveikatos stebėseną</t>
  </si>
  <si>
    <t>Ugdymo įstaigų, kuriose vykdytos visuomenės sveikatos priežiūros funkcijos</t>
  </si>
  <si>
    <t>63 ugdymo (ikimokyklinio ugdymo, bendrojo lavinimo ir profesinio rengimo) įstaigose įvykdytos visuomenės sveikatos priežiūros funkcijos.</t>
  </si>
  <si>
    <t>Mokinių, dalyvavusių sveikatinimo veiklose ugdymo įstaigose</t>
  </si>
  <si>
    <t>Sveikatinimo veiklose ugdymo įstaigose dalyvavo I ketv. - 14439, II ketv. - 20304, III ketv. - 11487, IV ketv. - 19944 moksleiviai.</t>
  </si>
  <si>
    <t>Renginių, organizuotų ugdymo įstaigų mokiniams</t>
  </si>
  <si>
    <t>Renginių, organizuotų miesto gyventojams.</t>
  </si>
  <si>
    <t>Stebėsenos ataskaitų su pasiūlymais dėl gyventojų sveikatos būklės gerinimo</t>
  </si>
  <si>
    <t>Parengta stebėsenos ataskaita su pasiūlymais dėl gyventojų sveikatos būklės gerinimo.</t>
  </si>
  <si>
    <t>Miesto gyventojų, dalyvavusių sveikatinimo veiklose</t>
  </si>
  <si>
    <t>Sveikatinimo veiklose dalyvavo I ketv. - 4016, II ketv. - 6200, III ketv. - 4149, IV ketv. - 5737 miesto gyventojai.</t>
  </si>
  <si>
    <t>Asmenų, baigusių Širdies ir kraujagyslių ligų ir cukrinio diabeto prevencinę sveikatos stiprinimo programą</t>
  </si>
  <si>
    <t>Asmenys, baigę Širdies ir kraujagyslių ligų ir cukrinio diabeto prevencinę sveikatos stiprinimo programą: 67.</t>
  </si>
  <si>
    <t>09.01.02.07</t>
  </si>
  <si>
    <t>Plėtoti visuomenės psichikos sveikatos paslaugų prieinamumą bei ankstyvojo savižudybių atpažinimo ir kompleksinės pagalbos teikimo sistemą</t>
  </si>
  <si>
    <t>Suteiktų individualių konsultacijų</t>
  </si>
  <si>
    <t>Suteiktos individualios konsultacijos: I ketv. - 197, II ketv. - 686, III ketv. - 882, IV ketv. - 518.</t>
  </si>
  <si>
    <t>Suteiktų grupinių konsultacijų</t>
  </si>
  <si>
    <t>Gyventojams suteikta 250 grupinių konsultacijų.</t>
  </si>
  <si>
    <t>Pravestų mokymų</t>
  </si>
  <si>
    <t>Gyventojams pravesta 30 mokymų.</t>
  </si>
  <si>
    <t>09.01.04.</t>
  </si>
  <si>
    <t>Vykdyti ligų prevenciją ir didinti sveikatos priežiūros paslaugų prieinamumą</t>
  </si>
  <si>
    <t>09.01.04.01</t>
  </si>
  <si>
    <t>Kompensuoti ir teikti medicinines paslaugas pažeidžiamiausioms gyventojų grupėms</t>
  </si>
  <si>
    <t>Dantų protezavimo paslaugas gavusių asmenų</t>
  </si>
  <si>
    <t>Nepateiktas poreikis dėl dantų protezavimo paslaugų.</t>
  </si>
  <si>
    <t>Slaugos paslaugas gavusių asmenų</t>
  </si>
  <si>
    <t>Nepateiktas poreikis gauti slaugos paslaugas.</t>
  </si>
  <si>
    <t>Pervežtų pacientų</t>
  </si>
  <si>
    <t>Pervežtų pacientų.</t>
  </si>
  <si>
    <t>Ortodonto suteiktų konsultacijų</t>
  </si>
  <si>
    <t>Įgyvendintas projektas „Ortodonto paslaugų prieinamumo didinimas Šiaulių miesto vaikams“, kurio metu suteiktos papildomos, iš Privalomojo sveikatos draudimo fondo nefinansuojamos, ortodonto konsultacijos Šiaulių miesto vaikams, pagerintas ortodonto paslaugų prieinamumas.</t>
  </si>
  <si>
    <t>09.01.04.03</t>
  </si>
  <si>
    <t>Organizuoti privalomąjį profilaktinį aplinkos kenksmingumo pašalinimą</t>
  </si>
  <si>
    <t>Gavusių paslaugas asmenų</t>
  </si>
  <si>
    <t>2  asmenys gavo profilaktinio aplinkos kenksmingumo pašalinimo paslaugas (patalpų valymas, dezinfekcija).</t>
  </si>
  <si>
    <t>09.01.04.04</t>
  </si>
  <si>
    <t>Įgyvendinti projektą „Paramos priemonių tuberkulioze sergantiems asmenims įgyvendinimas Šiaulių mieste"</t>
  </si>
  <si>
    <t>Tuberkulioze sergančių pacientų, kuriems buvo suteiktos socialinės paramos priemonės tuberkuliozės ambulatorinio gydymo metu</t>
  </si>
  <si>
    <t>Paslaugos gavėjams (2022 m. - 16 asmenų) teikiamos DOTS kabinete. Asmenų gydymo trukmė priklauso nuo ligonių būklės, 2022 m. pilnai gydymą baigė 13 asmenų, 2 tęsia gydymą 2023 m.</t>
  </si>
  <si>
    <t>09.01.04.05</t>
  </si>
  <si>
    <t>Įgyvendinti projektą „Priklausomybės ligų profilaktikos, diagnostikos ir gydymo kokybės ir prieinamumo gerinimas Šiaulių mieste"</t>
  </si>
  <si>
    <t>Apsilankymų žemo slenksčio paslaugų kabinetuose</t>
  </si>
  <si>
    <t>Žemo slenksčio paslaugų kabinete asmenims, nepasirengusiems atsisakyti narkotikų vartojimo, sudarytos sąlygos naudotis žalos mažinimo paslaugomis (švirkštų, adatų keitimas, tvarsliavos, dezinfekcijos priemonių dalijimas). Paslaugos teikiamos pagal poreikį.</t>
  </si>
  <si>
    <t>09.01.04.06</t>
  </si>
  <si>
    <t>Pritraukti gydytojus specialistus į Šiaulių miestą ir išlaikyti jame</t>
  </si>
  <si>
    <t>Paremtų gydytojų, atvykusių dirbti į Šiaulius</t>
  </si>
  <si>
    <t>Finansuotos 14 gydytojų specialistų pagal pateiktus prašymus išmokos.</t>
  </si>
  <si>
    <t>Finansuotų rezidentų</t>
  </si>
  <si>
    <t>Finansuotos 7 rezidentų pagal pateiktus prašymus nuo 2019 m. studijos.</t>
  </si>
  <si>
    <t>09.01.04.07</t>
  </si>
  <si>
    <t>Vykdyti maudyklų vandens kokybės stebėseną ir paruošti duomenų rinkmenas apie maudyklų vandens charakteristikas</t>
  </si>
  <si>
    <t>Stebėtų maudyklų</t>
  </si>
  <si>
    <t>Įvykdyta vandens maudyklų kokybės stebėsena Rėkyvos ežero ir Prūdelio tvenkinio paplūdymiuose, Talkšos ežero maudykloje pagal nustatytą grafiką.</t>
  </si>
  <si>
    <t>Atliktų tyrimų</t>
  </si>
  <si>
    <t>Įvykdyta vandens maudyklų kokybės stebėsena pagal nustatytą grafiką, atlikti 88 tyrimai.</t>
  </si>
  <si>
    <t>09.01.04.08</t>
  </si>
  <si>
    <t>Įgyvendinti projektą „Geležinkelių transporto aplinkos apsaugos priemonių (triukšmą slopinančių priemonių) diegimas Šiaulių miesto savivaldybėje"</t>
  </si>
  <si>
    <t>Projekto partneriui atlikti prisidėjimo lėšų mokėjimai pagal patvirtintus mokėjimo prašymus.</t>
  </si>
  <si>
    <t>09.01.04.09</t>
  </si>
  <si>
    <t>Vykdyti ligų profilaktikos ir prevencijos priemones</t>
  </si>
  <si>
    <t>Įvykdytų priemonių</t>
  </si>
  <si>
    <t>100 proc. įgyvendintos Covid-19 (koronaviruso infekcijos) ligos valdymo priemonės, priemonių įgyvendinimui skirtos lėšos panaudotos prekių, paslaugų ir priemonių apmokėjimui pagal poreikį: mobilaus punkto veiklos organizavimui iki 2022-05-01, AAP Šiaulių miesto savivaldybės administracijos darbuotojams, tikslinės grupės asmenų apgyvendinimo ir maitinimo paslaugų organizavimui savivaldybės numatytose izoliacijos patalpose iki 2022-02, suteiktos 378 asmenų pervežimo paslaugos iki 2022-05-01. Koordinuotas ambulatorinių sveikatos priežiūros paslaugų, mobilių slaugos paslaugų ir psichologinės pagalbos teikimas užsieniečiams, pasitraukusiems iš Ukrainos dėl Rusijos Federacijos karinių veiksmų Ukrainoje.</t>
  </si>
  <si>
    <t>10.</t>
  </si>
  <si>
    <t>Socialinės paramos įgyvendinimo programa</t>
  </si>
  <si>
    <t>10.01.</t>
  </si>
  <si>
    <t>Įgyvendinti socialinės apsaugos sistemą, mažinančią socialinę atskirtį ir užtikrinančią pažeidžiamų gyventojų grupių socialinę integraciją</t>
  </si>
  <si>
    <t>Socialinių paslaugų gavėjų dalis nuo bendro Šiaulių miesto gyventojų skaičiaus</t>
  </si>
  <si>
    <t>Piniginės socialinės paramos gavėjų dalis nuo bendro Šiaulių miesto gyventojų skaičiaus</t>
  </si>
  <si>
    <t>Mažas pajamas gaunančių socialinės paramos gavėjų dalis nuo bendro Šiaulių miesto gyventojų skaičiaus</t>
  </si>
  <si>
    <t>10.01.01.</t>
  </si>
  <si>
    <t>Teikti socialines paslaugas ir didinti jų prieinamumą įvairioms gyventojų grupėms</t>
  </si>
  <si>
    <t>10.01.01.05</t>
  </si>
  <si>
    <t>Teikti ilgalaikės, trumpalaikės ir dienos socialinės globos paslaugas senyvo amžiaus asmenims, suaugusiems asmenims ir vaikams su negalia ir su sunkia negalia</t>
  </si>
  <si>
    <t>Teikiamų paslaugų rūšių</t>
  </si>
  <si>
    <t>Teikiamos ilgalaikės, trumpalaikės ir dienos (institucijoje ir asmens namuose) socialinės globos paslaugos asmenims su negalia (finansuojama SB lėšomis) ir su sunkia negalia (finansuojama VB lėšomis).</t>
  </si>
  <si>
    <t>Paslaugų gavėjų su sunkia negalia</t>
  </si>
  <si>
    <t>Paslaugų gavėjų su negalia</t>
  </si>
  <si>
    <t>Patenkintų prašymų laikino atokvėpio paslaugai gauti (nuo visų pateiktų asmenų prašymų)</t>
  </si>
  <si>
    <t>10.01.01.07</t>
  </si>
  <si>
    <t>Įgyvendinti Užimtumo didinimo programą laikiną užimtumą užtikrinančiomis priemonėmis</t>
  </si>
  <si>
    <t>Sukurtų laikinų darbo vietų</t>
  </si>
  <si>
    <t>Įgyvendinant Užimtumo didinimo programą 2022 m. buvo sukurtos 28 laikinos darbo vietos (iš jų: viešojo naudojimo teritorijų ir aplinkos tvarkymo darbams atlikti 12 laikinų darbo vietų, socialinių paslaugų asmenims su negalia ir vienišiems pagyvenusiems asmenims teikimui 13, auklėtojo (mokytojo) padėjėjo paslaugos teikimui 3).
2 laikinos darbo vietos, finansuojamos iš SB lėšos, buvo skirtos "Maisto bankui". Laikinai įdarbinti asmenys padėjo dalinti paramą maisto produktais karo pabėgėliams iš Ukrainos.</t>
  </si>
  <si>
    <t>10.01.01.09</t>
  </si>
  <si>
    <t>Įgyvendinti Būsto pritaikymo asmenims turintiems negalią programą</t>
  </si>
  <si>
    <t>Pritaikytų būstų dalis nuo visų gautų paraiškų</t>
  </si>
  <si>
    <t>2022 m. sausio 1 d. buvo 73 asmenys su negalia, įrašyti į eilę dėl būsto pritaikymo. Per 2022 metu buvo pritaikyti 32 būstai (iš jų 8 asmenys būstą prisitaikė savarankiškai, rangovas 4 būstus pritaikė pilnai, 20 būstų buvo pritaikyti dalinai, darbai perkelti į 2023 m.).</t>
  </si>
  <si>
    <t>10.01.01.10</t>
  </si>
  <si>
    <t>Didinti socialinių paslaugų prieinamumą</t>
  </si>
  <si>
    <t>Teikiamos šios paslaugos:
1) Socialinė priežiūra šeimoms, patiriančioms socialinę riziką (paslaugą teikia Labdaros ir paramos fondas "SOS vaikų kaimų Lietuvoje draugija" ir VŠĮ "Šiaurės Lietuvos kolegija") (iš VB lėšų);
2) Išvadų dėl asmens gebėjimo pasirūpinti savimi rengimas;
3) Paramos maisto produktais ir asmens higienos priemonėmis teikimo labiausiai nepasiturintiems Šiaulių miesto gyventojams organizavimas (partneris - Labdaros ir paramos fondas "Maisto bankas");
4) Pavėžėjimo su pagalba paslauga asmenims su negalia; (VŠĮ "Sparnas rankai");
5) Asmeninės pagalbos paslauga asmenims su negalia (iš VB lėšų) (Socialinių paslaugų centras);
6) Socialinių paslaugų Šiaulių mieste viešinimas (VšĮ "Šiauliai plius").
Teikiamos akredituotos socialinės priežiūros paslaugos: 
1) krizių įveikimo pagalbos paslaugas asmeniui (šeimai), atsidūrusiems krizinėje situacijoje (VŠĮ "Motinos Teresės šeimų namai");
2) pagalba į namus (VŠĮ "Nuoširdus rūpestis" ir Šiaulių Vyskupijos Caritas); 
3) palydėjimo paslauga jaunuoliams (Kompleksinių paslaugų namai "Alka" ir VŠĮ "Vilniaus SOS vaikų kaimas").</t>
  </si>
  <si>
    <t>Suteikta asmeninės pagalbos paslaugų asmenims su negalia nuo pateiktų prašymų</t>
  </si>
  <si>
    <t>Asmeninės pagalbos paslaugų teikimas yra finansuojamas valstybės biudžeto lėšomis, lėšos savivaldybėms paskirstytos proporcingai kiekvienoje savivaldybėje esančių asmenų su negalia skaičiui.</t>
  </si>
  <si>
    <t>2022 m.: Mokama už faktiškai suteiktas paslaugas.</t>
  </si>
  <si>
    <t>Suteikta pavėžėjimo su pagalba paslaugų asmenims su negalia nuo pateiktų prašymų</t>
  </si>
  <si>
    <t>10.01.01.11</t>
  </si>
  <si>
    <t>Užtikrinti socialinių paslaugų įstaigų veiklą ir prienamumą</t>
  </si>
  <si>
    <t>Socialinių paslaugų centre teikiamų paslaugų rūšių</t>
  </si>
  <si>
    <t>Teikiamos šios paslaugos: 
Bendrosios socialinės paslaugos:
1) informavimas; 2) konsultavimas; 3) tarpininkavimas ir atstovavimas; 4) maitinimo organizavimas; 5) aprūpinimas būtiniausiais drabužiais ir avalyne; 6) transporto organizavimas; 7) sociokultūrinės paslaugos; 8) asmeninės higienos ir priežiūros paslaugų organizavimas; 9) neįgaliųjų aprūpinimas techninės pagalbos priemonėmis; 10) vaikų dienos socialinė priežiūra; 11) psichologo paslaugos.
Specialiosios socialinės paslaugos:
1) pagalba į namus; 2) dienos socialinė globa asmens namuose (integrali pagalba); 3) GIMK (globėjų (rūpintojų) ir įtėvių mokymas ir konsultavimas); 4) globos centro paslaugos; 5) socialinė priežiūra socialinės rizikos šeimoms; 6) apgyvendinimas nakvynės namuose; 7) krizių centro paslauga; 8) laikinas apnakvindinimas; 9) asmeninio asistento paslauga (asmeninė pagalba asmenims su negalia); 10) pagalba iš pataisos įstaigų paleistiems (paleidžiamiems) asmenims.</t>
  </si>
  <si>
    <t>Socialinių paslaugų centre aptarnautų asmenų (šeimų)</t>
  </si>
  <si>
    <t>Vaikų globos namuose teikiamų paslaugų rūšių</t>
  </si>
  <si>
    <t>Teikiamos šios paslaugos:
1) ilgalaikė socialinė globa;
2) trumpalaikė socialinė globa;
3) šeimų socialinė priežiūra;
4) vaikų dienos centras;
5) pagalba globėjams (rūpintojams), budintiems globotojams, įtėviams ar besirengiantiems jais tapti;
6) psichosocialinė pagalba.</t>
  </si>
  <si>
    <t>Vaikų globos namuose paslaugų gavėjų</t>
  </si>
  <si>
    <t>Globos namuose teikiamų paslaugų rūšių</t>
  </si>
  <si>
    <t>Teikiamos šios paslaugos:
1) ilgalaikė socialinė globa;
2) trumpalaikė socialinė globa;
3) dienos socialinė globa institucijoje;
4) dienos socialinė globa asmens namuose;
5) dienos socialinė globa ir slauga asmens namuose (integrali pagalba);
6) laikinas atokvėpis;
7) apgyvendinimas savarankiško gyvenimo namuose;
8) apsaugoto būsto paslauga;
9) socialinių dirbtuvių paslauga.</t>
  </si>
  <si>
    <t>Globos namuose aptarnautų asmenų</t>
  </si>
  <si>
    <t>Kompleksinių paslaugų namuose "Alka" teikiamų paslaugų rūšių</t>
  </si>
  <si>
    <t>Teikiamos šios paslaugos:
1) ilgalaikė socialinė globa;
2) trumpalaikė socialinė globa;
3) dienos socialinė globa);
4) palydėjimo paslauga jaunuoliams.</t>
  </si>
  <si>
    <t>Kompleksinių paslaugų namuose "Alka" paslaugų gavėjų</t>
  </si>
  <si>
    <t>Sudarytos sąlygos ir parengtas teisinis reglamentavimas Užimtumo didinimo programos modelio įgyvendinimui Šiaulių mieste</t>
  </si>
  <si>
    <t>Parengtas Šiaulių miesto savivaldybės administracijos direktoriaus 2022 m. liepos 1 d. įsakymas Nr. A-1210 „Dėl užimtumo didinimo programos modelio įgyvendinimo Šiaulių mieste“, kuriuo Socialinių paslaugų centrui buvo pavesta vykdyti užimtumo didinimo programos modelio įgyvendinimą Šiaulių mieste. Prasidėjus veiklai, buvo įdarbintas nedirbančių asmenų atvejo vadybininkas.</t>
  </si>
  <si>
    <t>10.01.01.12</t>
  </si>
  <si>
    <t>Užtikrinti socialinės globos paslaugų teikimą vaikams, likusiems be tėvų globos</t>
  </si>
  <si>
    <t>Globojamų vaikų šeimose</t>
  </si>
  <si>
    <t>2022 metais 166 globėjai savo šeimose globojo 229 vaikus, likusius be tėvų globos (iš jų 43 vaikai iš Ukrainos)..</t>
  </si>
  <si>
    <t>Globojamų vaikų šeimynose</t>
  </si>
  <si>
    <t>Šiaulių miesto savivaldybėje veikia 3 šeimynos, kuriose 2022 m. buvo globojama 17 tėvų globos netekusių vaikų.</t>
  </si>
  <si>
    <t>Globojamų vaikų bendruomeniniuose vaikų globos namuose</t>
  </si>
  <si>
    <t>Bendruomeninių vaikų globos namų paslaugas teikia VŠĮ "Vilniaus SOS vaikų kaimas".</t>
  </si>
  <si>
    <t>Globojamų vaikų kitų savivaldybių institucijose</t>
  </si>
  <si>
    <t>Kitos savivaldybės instituciniuose globos namuose (Kuršėnų šeimos namuose) buvo globojamas 1 vaikas, kuris 2022 m. birželio mėn. tapo pilnametis.</t>
  </si>
  <si>
    <t>10.01.01.13</t>
  </si>
  <si>
    <t>Užtikrinti socialinės reabilitacijos paslaugų neįgaliesiems teikimą bendruomenėje</t>
  </si>
  <si>
    <t>Finansuojamų projektų</t>
  </si>
  <si>
    <t>Socialinės reabilitacijos neįgaliesiems projektus įgyvendino 13 nevyriausybinių organizacijų, veikiančių Šiaulių mieste.</t>
  </si>
  <si>
    <t>Paslaugų gavėjų</t>
  </si>
  <si>
    <t>Projektų veiklose dalyvavo ir paslaugas iš viso gavo 723 asmenys (iš jų  619 asmenų su negalia ir 104 neįgaliųjų šeimos nariai).</t>
  </si>
  <si>
    <t>10.01.01.14</t>
  </si>
  <si>
    <t>Užtikrinti vaikų dienos centrų veiklą ir prieinamumą</t>
  </si>
  <si>
    <t>Vaikų, lankančių dienos centrus</t>
  </si>
  <si>
    <t>Šiaulių miesto savivaldybėje veikia 11 vaikų dienos centrų (vaikų dienos socialinės priežiūros paslaugas teikia 2 biudžetinės įstaigos ir 9 nevyriausybinės organizacijos).</t>
  </si>
  <si>
    <t>Vaikų iš šeimų, patiriančių socialinę riziką, dalis nuo visų socialinės rizikos šeimose augančių vaikų skaičiaus</t>
  </si>
  <si>
    <t>Vaikų iš šeimų patiriančių socialinę riziką, dalis nuo visų vaikų dienos centrus lankančių vaikų</t>
  </si>
  <si>
    <t>10.01.01.15</t>
  </si>
  <si>
    <t>Užtikrinti kraitelio skyrimą šeimoms, susilaukusioms kūdikio</t>
  </si>
  <si>
    <t>Nupirktų kraitelių</t>
  </si>
  <si>
    <t>Kūdikiams įteiktų kraitelių dalis nuo visų per metus gimusių kūdikių</t>
  </si>
  <si>
    <t>10.01.01.16</t>
  </si>
  <si>
    <t>Įgyvendinti projektą „Integrali pagalba į namus Šiaulių mieste"</t>
  </si>
  <si>
    <t>Patenkintų prašymų integraliai pagalbai (asmens namuose) paslaugai gauti (nuo pateiktų asmenų prašymų)</t>
  </si>
  <si>
    <t>Patenkinta 100 proc. prašymų integraliai paslaugai gauti.</t>
  </si>
  <si>
    <t>Buvo teikiamos integralios pagalbos paslaugos. Paslaugos suteiktos 192 asmenims (paskutinio ketv. 2022 m. gavėjų skaičius – 139).</t>
  </si>
  <si>
    <t>10.01.01.17</t>
  </si>
  <si>
    <t>Įgyvendinti projektą „Kompleksinės paslaugos šeimai Šiaulių miesto savivaldybėje"</t>
  </si>
  <si>
    <t>Pasirašytas papildomas susitarimas dėl papildomo finansavimo (273 419,7 Eur). Suteiktos paslaugos 1144 asmenims (iš viso per projekto įgyvendinimo laikotarpį paslaugos suteiktos 4181 asmenų).</t>
  </si>
  <si>
    <t>10.01.01.18</t>
  </si>
  <si>
    <t>Įgyvendinti projektą „Vaikų socialinės integracijos skatinimas Jelgavos ir Šiaulių miestuose"</t>
  </si>
  <si>
    <t>Suremontuota ir įranga aprūpinta vaikų dienos centrų</t>
  </si>
  <si>
    <t>Atlikti patalpų remonto darbai vaikų dienos centre "Tarp savų" (Aušros al. 64). Įsigyta dalis projekto paraiškoje suplanuotos įrangos.</t>
  </si>
  <si>
    <t>Įdiegta atsiskaitymo be grynųjų pinigų sistema mokyklose</t>
  </si>
  <si>
    <t>Atlikta rinkos konsultacija, priimtas sprendimas atsisakyti suplanuotos projekto veiklos.</t>
  </si>
  <si>
    <t>Suteikta psichologo ir teisinių konsultacijų</t>
  </si>
  <si>
    <t>Suteikta 101 psichologo konsultacija ir 97 teisininko konsultacijos, iš viso 198.</t>
  </si>
  <si>
    <t>Parengta ir pritaikyta darbo su jaunimu gatvėje metodika</t>
  </si>
  <si>
    <t>Parengta darbo su jaunimu gatvėje metodika.</t>
  </si>
  <si>
    <t>10.01.01.19</t>
  </si>
  <si>
    <t>Užtikrinti Globos centrų veiklą</t>
  </si>
  <si>
    <t>Budinčių globotojų</t>
  </si>
  <si>
    <t>Budinčių globotojų šeimose globojamų vaikų</t>
  </si>
  <si>
    <t>GIMK mokymus baigusių asmenų</t>
  </si>
  <si>
    <t>Koordinuotos pagalbos atvejų</t>
  </si>
  <si>
    <t>10.01.03.</t>
  </si>
  <si>
    <t>Plėsti  socialinių paslaugų įstaigų infrastruktūrą, atnaujinant ir modernizuojant esamus bei įrengiant naujus socialinės paskirties įstaigų pastatus</t>
  </si>
  <si>
    <t>10.01.03.09</t>
  </si>
  <si>
    <t>Pastatyti (pritaikyti pastatą) nakvynės namų ir apgyvendinimo paslaugoms teikti</t>
  </si>
  <si>
    <t>Atlikti laikino apgyvendinimo paslaugoms teikti (Tiesos g. 3) projekto II ir III etapo darbai</t>
  </si>
  <si>
    <t>10.01.03.10</t>
  </si>
  <si>
    <t>Rekonstruoti Šiaulių miesto savivaldybės socialinių paslaugų centro Paramos tarnybos pastatą (Stoties g.)</t>
  </si>
  <si>
    <t>Atnaujintas techninis projektas suskaidant į atskirus etapus.</t>
  </si>
  <si>
    <t>10.01.03.12</t>
  </si>
  <si>
    <t>Įgyvendinti projektą „Bendruomeninių apgyvendinimo bei užimtumo paslaugų asmenims su proto ir psichikos negaliai plėtra Šiaulių mieste“</t>
  </si>
  <si>
    <t>Pastatyti ir grupinio gyvenimo namų veiklai pritaikyti namai</t>
  </si>
  <si>
    <t>Parengti 4 GGN namukų techniniai projektai. Atliktos ekspertizes. Pasirašytos 3 rangos sutartys  GGN  statybai. Iš LR Socialinės apsaugos ir darbo ministerijos gautas papildomas finansavimas  projektui - 1 218 388,93  Eur.</t>
  </si>
  <si>
    <t>Rekonstruotas ir specializuotos slaugos-globos namų, dienos užimtumo ir socialinių dirbtuvių veiklai pritaikytas pastatas</t>
  </si>
  <si>
    <t>Parengtas Vilniaus g. 303 Šiauliuose, techninis projektas ir ekspertuotas. 2022-09-14 pasirašyta rangos sutartis Vilniaus g. 303, Šiauliuose rekonstrukcijai. Iš LR Socialinės apsaugos ir darbo ministerijos gautas papildomas finansavimas  projektui - 239 084,53 Eur.</t>
  </si>
  <si>
    <t>Pradėti vykdyti kompleksinių paslaugų namų „Alka“ Vilniaus g. 303, Šiauliai, rekonstravimo darbai</t>
  </si>
  <si>
    <t>10.01.03.14</t>
  </si>
  <si>
    <t>Plėsti bendruomenines paslaugas vaikams</t>
  </si>
  <si>
    <t>Baigtas įgyvendinti Projektas "Vaikų dienos centrų plėtra Šiaulių mieste". Suremontuotas ir įranga aprūpintas vaikų dienos centras "Tik tu".</t>
  </si>
  <si>
    <t>Pritaikyta būstų bendruomeninių vaikų globos namų veiklai</t>
  </si>
  <si>
    <t>2022 m. atlikti rangos darbai. Įvykdyti baldų ir įrangos pirkimai. Projekto veiklų įgyvendinimo terminas pratęstas iki 2023 m. sausio 31 d.</t>
  </si>
  <si>
    <t>10.01.03.14.01</t>
  </si>
  <si>
    <t>Įkurti bendruomeninius vaikų globos namus Šiaulių mieste</t>
  </si>
  <si>
    <t>10.01.03.14.02</t>
  </si>
  <si>
    <t>Plėsti vaikų dienos centrų tinklą Šiaulių mieste</t>
  </si>
  <si>
    <t>Projektas baigtas įgyvendinti 2022-09-26. Suremontuotas ir įranga aprūpintas įranga vaikų dienos centras "Tik tu".</t>
  </si>
  <si>
    <t>10.01.03.15</t>
  </si>
  <si>
    <t>Gerinti socialinių paslaugų įstaigų pastatų būklę</t>
  </si>
  <si>
    <t>Atlikti Globos namų (Energetikų g. 20A) stogo ir gyvenamųjų patalpų remonto darbai</t>
  </si>
  <si>
    <t>10.01.05.</t>
  </si>
  <si>
    <t>Užtikrinti valstybės garantuotos piniginės socialinės paramos teikimą</t>
  </si>
  <si>
    <t>10.01.05.01</t>
  </si>
  <si>
    <t>Skirti ir išmokėti išmokas ir kompensacijas</t>
  </si>
  <si>
    <t>Socialinių išmokų ir kompensacijų gavėjų skaičius</t>
  </si>
  <si>
    <t>Išmokos mokamos pagal poreikį</t>
  </si>
  <si>
    <t>Laidojimo pašalpų gavėjų skaičius</t>
  </si>
  <si>
    <t>10.01.05.01.01</t>
  </si>
  <si>
    <t>Skirti socialinę pašalpą</t>
  </si>
  <si>
    <t>Išmokų gavėjų</t>
  </si>
  <si>
    <t>10.01.05.01.02</t>
  </si>
  <si>
    <t>Kompensuoti būsto šildymo išlaidas</t>
  </si>
  <si>
    <t>10.01.05.01.03</t>
  </si>
  <si>
    <t>Kompensuoti šalto vandens ir nuotekų išlaidas</t>
  </si>
  <si>
    <t>10.01.05.01.04</t>
  </si>
  <si>
    <t>Kompensuoti karšto vandens išlaidas</t>
  </si>
  <si>
    <t>10.01.05.01.05</t>
  </si>
  <si>
    <t>Kompensuoti kredito, paimto daugiabučiui namui atnaujinti ir palūkanų apmokėjimo už asmenis, turinčius teisę į būsto šildymo išlaidas</t>
  </si>
  <si>
    <t>10.01.05.01.06</t>
  </si>
  <si>
    <t>Skirti laidojimo pašalpą</t>
  </si>
  <si>
    <t>10.01.05.01.08</t>
  </si>
  <si>
    <t>Kompensuoti už būsto šildymą (kitomis kuro rūšimis)</t>
  </si>
  <si>
    <t>10.01.05.01.09</t>
  </si>
  <si>
    <t>Kompensuoti palaikų pervežimą</t>
  </si>
  <si>
    <t>10.01.05.01.11</t>
  </si>
  <si>
    <t>Užtikrinti išmokas Ginkluoto pasipriešinimo / rezistencijos dalyviams mokėti</t>
  </si>
  <si>
    <t>10.01.05.01.12</t>
  </si>
  <si>
    <t>Užtikrinti kompensacijų fiziniams ir juridiniams asmenims, perdavusiems savo būstą ar patalpas neatlygintinai naudotis panaudos pagrindais dėl karinių veiksmų iš Ukrainos pasitraukusiems gyventojams, mokėjimą</t>
  </si>
  <si>
    <t>10.01.05.01.13</t>
  </si>
  <si>
    <t>Užtikrinti vienkartinių išmokų įsikurti gyvenamojoje vietoje savivaldybės teritorijoje ir (ar) mėnesinių kompensacijų vaiko ugdymo pagal ikimokyklinio ar priešmokyklinio ugdymo programą, skirtų laikinąją apsaugą LR gavusiems užsieniečiams, mokėjimą</t>
  </si>
  <si>
    <t>10.01.05.01.14</t>
  </si>
  <si>
    <t>Užtikrinti LR piniginės socialinės paramos nepasiturintiems gyventojams įstatymo įgyvendinimą dėl karinių veiksmų iš Ukrainos pasitraukiantiems gyventojams</t>
  </si>
  <si>
    <t>10.01.05.02</t>
  </si>
  <si>
    <t>Skirti ir išmokėti išmokas vaikams</t>
  </si>
  <si>
    <t>Patvirtintų pareigybių</t>
  </si>
  <si>
    <t>10.01.05.02.01</t>
  </si>
  <si>
    <t>Pervesti lėšas vienkartinei išmokai vaikui mokėti</t>
  </si>
  <si>
    <t>10.01.05.02.02</t>
  </si>
  <si>
    <t>Pervesti lėšas išmokai vaikui mokėti</t>
  </si>
  <si>
    <t>10.01.05.02.03</t>
  </si>
  <si>
    <t>Pervesti lėšas privalomosios tarnybos kario vaikui mokėti</t>
  </si>
  <si>
    <t>10.01.05.02.04</t>
  </si>
  <si>
    <t>Pervesti lėšas vienkartinei išmokai nėščiai moteriai mokėti</t>
  </si>
  <si>
    <t>10.01.05.02.05</t>
  </si>
  <si>
    <t>Pervesti lėšas globos (rūpybos) išmokai mokėti</t>
  </si>
  <si>
    <t>10.01.05.02.06</t>
  </si>
  <si>
    <t>Pervesti lėšas našlaičio įsikūrimui (vienkartinė išmoka)</t>
  </si>
  <si>
    <t>10.01.05.02.07</t>
  </si>
  <si>
    <t>Pervesti lėšas globos (rūpybos) išmokos tiksliniui priedui mokėti</t>
  </si>
  <si>
    <t>10.01.05.02.08</t>
  </si>
  <si>
    <t>Pervesti lėšas išmokai besimokančio ar studijuojančio asmens vaiko priežiūrai</t>
  </si>
  <si>
    <t>10.01.05.02.09</t>
  </si>
  <si>
    <t>Pervesti lėšas išmokai gimus vienu metu daugiau kaip vienam vaikui</t>
  </si>
  <si>
    <t>10.01.05.02.10</t>
  </si>
  <si>
    <t>Pervesti lėšas išmokai įvaikinus vaiką  mokėti</t>
  </si>
  <si>
    <t>10.01.05.02.11</t>
  </si>
  <si>
    <t>Pervesti lėšas vaiko laikinosios priežiūros išmokai mokėti</t>
  </si>
  <si>
    <t>10.01.05.02.12</t>
  </si>
  <si>
    <t>Pervesti lėšas išmoką vaikui mokėti, skirtą COVID-19 pandemijos padariniams mažinti (gaunantiems universalią išmoką vaikui)</t>
  </si>
  <si>
    <t>10.01.05.02.13</t>
  </si>
  <si>
    <t>Apmokėti administravimo išlaidos</t>
  </si>
  <si>
    <t>10.01.05.02.14</t>
  </si>
  <si>
    <t>Užtikrinti pažangos priemonės vykdymą (globos (rūpybos) ir tiksliniam priedui mokėti)</t>
  </si>
  <si>
    <t>10.01.05.02.15</t>
  </si>
  <si>
    <t>Apmokėti administravimo išlaidas (globos (rūpybos) ir tiksliniam priedui mokėti)</t>
  </si>
  <si>
    <t>10.01.05.03</t>
  </si>
  <si>
    <t>Skirti ir išmokėti tikslines kompensacijas</t>
  </si>
  <si>
    <t>10.01.05.03.01</t>
  </si>
  <si>
    <t>Užtikrinti tikslinių kompensacijų mokėjimą</t>
  </si>
  <si>
    <t>Gavėjų skaičius</t>
  </si>
  <si>
    <t>10.01.05.03.02</t>
  </si>
  <si>
    <t>Patvirtinta pareigybių</t>
  </si>
  <si>
    <t>10.01.05.05</t>
  </si>
  <si>
    <t>Skirti kompensacijas nepriklausomybės gynėjams nukentėjusiems nuo 1991 m. sausio 11-13 d. ir po to vykdytos SSRS agresijos</t>
  </si>
  <si>
    <t>10.01.05.06</t>
  </si>
  <si>
    <t>Skirti kitas išmokas</t>
  </si>
  <si>
    <t>10.01.05.07</t>
  </si>
  <si>
    <t>Skirti socialinę paramą moksleiviams</t>
  </si>
  <si>
    <t>10.01.05.07.01</t>
  </si>
  <si>
    <t>Apmokėti išlaidas už įsigytus maisto produktus</t>
  </si>
  <si>
    <t>10.01.05.07.02</t>
  </si>
  <si>
    <t>Apmokėti išlaidas mokinio reikmenims</t>
  </si>
  <si>
    <t>10.01.05.08</t>
  </si>
  <si>
    <t>Kompensuoti keleivinio transporto vežėjų išlaidas (negautas pajamas) už lengvatinį keleivių vežimą reguliaraus susisiekimo maršrutais</t>
  </si>
  <si>
    <t>Sutartinių įsipareigojimų vykdymas</t>
  </si>
  <si>
    <t>Lėšos naudojamos pagal faktines išlaidas.</t>
  </si>
  <si>
    <t>10.01.05.09</t>
  </si>
  <si>
    <t>Įgyvendinti vystomojo bendradarbiavimo veiklą ir teikti humanitarinę pagalbą</t>
  </si>
  <si>
    <t>Suteikta pagalba (parama) šaliai, kurioje įvesta nepaprastoji padėtis ir (ar) karo padėtis</t>
  </si>
  <si>
    <t>11.</t>
  </si>
  <si>
    <t>Savivaldybės veiklos programa</t>
  </si>
  <si>
    <t>11.01.</t>
  </si>
  <si>
    <t>Efektyviai organizuoti Savivaldybės darbą ir užtikrinti Savivaldybės funkcijų įgyvendinimą</t>
  </si>
  <si>
    <t>Darbuotojų, dalyvavusių mokymuose, skaičius (nuo visų darbuotojų skaičiaus)</t>
  </si>
  <si>
    <t>Vidutiniškai kiekvienas Savivaldybės administracijos darbuotojas per 2022 m. dalyvavo daugiau kaip 2 mokymuose (2,36).</t>
  </si>
  <si>
    <t>Suteiktų elektroninių paslaugų kiekis</t>
  </si>
  <si>
    <t>Valstybės deleguotų funkcijų skaičius</t>
  </si>
  <si>
    <t>11.01.01.</t>
  </si>
  <si>
    <t>Organizuoti  Savivaldybės veiklos funkcijų įgyvendinimą</t>
  </si>
  <si>
    <t>11.01.01.01</t>
  </si>
  <si>
    <t>Užtikrinti Savivaldybės administracijos finansinį, ūkinį ir materialinį aptarnavimą</t>
  </si>
  <si>
    <t>Valstybės karjeros tarnautojų (pareigybių)</t>
  </si>
  <si>
    <t>Valstybės tarnautojų pareigybių skaičius padidėjo trejomis pareigybėmis ir 2022 m. gruodžio 31 d. yra 184. Tarybos sprendimu Savivaldybės administracijoje didžiausias leistinas pareigybių skaičius buvo padidintas trejomis karjeros valstybės tarnautojų (vyriausiųjų specialistų) pareigybėmis.</t>
  </si>
  <si>
    <t>Darbuotojų dirbančių pagal darbo sutartis (pareigybių)</t>
  </si>
  <si>
    <t>Darbuotojų, dirbančių pagal darbo sutartis (pareigybių) 2022 m. gruodžio 31 d. yra 86.  Vietoj vienos valstybės tarnautojo pareigybės buvo įsteigta darbuotojo, dirbančio pagal darbo sutartis, pareigybė.</t>
  </si>
  <si>
    <t>Įvykdytų planuotų administracijos remonto darbų</t>
  </si>
  <si>
    <t>Organizuota mokymų/ dalyvių</t>
  </si>
  <si>
    <t>Įsigyta kompiuterinės technikos</t>
  </si>
  <si>
    <t>Įsigyta organizacinės technikos</t>
  </si>
  <si>
    <t>2022 m. įsigyti 2 vnt. spausdintuvų.</t>
  </si>
  <si>
    <t>Įsigyta programinė įranga</t>
  </si>
  <si>
    <t>Įsigyta duomenų saugyklų</t>
  </si>
  <si>
    <t>Eksploatuojama kompiuterių</t>
  </si>
  <si>
    <t>Aktyvios komunikacijos Savivaldybės socialinėje paskyroje "Facebook" (sekėjai)</t>
  </si>
  <si>
    <t>Komunikacija socialiniuose tinkluose lietuvių/anglų kalba (Linkedin ir Instagram) (sekėjai)</t>
  </si>
  <si>
    <t>11.01.01.01.01</t>
  </si>
  <si>
    <t>Organizuoti Savivaldybės administracijos darbą</t>
  </si>
  <si>
    <t>Darbuotojų, dirbančių pagal darbo sutartis (pareigybių)</t>
  </si>
  <si>
    <t>11.01.01.01.03</t>
  </si>
  <si>
    <t>Organizuoti Civilinės būklės aktų registravimą</t>
  </si>
  <si>
    <t>Užtikrintas funkcijos įgyvendinimas</t>
  </si>
  <si>
    <t>Funkcijos įgyvendinimas užtikrinamas pagal poreikį.</t>
  </si>
  <si>
    <t>11.01.01.01.06</t>
  </si>
  <si>
    <t>Organizuoti socialinių išmokų ir kompensacijų mokėjimą</t>
  </si>
  <si>
    <t>11.01.01.01.09</t>
  </si>
  <si>
    <t>Apmokėti Savivaldybės administracijos teisines išlaidas</t>
  </si>
  <si>
    <t>11.01.01.01.10</t>
  </si>
  <si>
    <t>Organizuoti Savivaldybės administracijos pastato, patalpų remontą ir turto įsigijimą</t>
  </si>
  <si>
    <t>11.01.01.01.11</t>
  </si>
  <si>
    <t>Organizuoti Savivaldybės administracijos informacijos sklaidą ir reprezentacinių prekių įsigijimą</t>
  </si>
  <si>
    <t>Aktyvios komunikacijos Savivaldybės socialinėje paskyroje "Facebook"(sekėjai)</t>
  </si>
  <si>
    <t>Užtikrintas reprezentacinių prekių įsigijimas</t>
  </si>
  <si>
    <t>11.01.01.01.12</t>
  </si>
  <si>
    <t>Organizuoti Savivaldybės administracijos kompiuterinės ir programinės įrangos įsigijimą</t>
  </si>
  <si>
    <t>Įsigyta programinės įrangos</t>
  </si>
  <si>
    <t>11.01.01.02</t>
  </si>
  <si>
    <t>Užtikrinti Savivaldybės tarybos ir Savivaldybės tarybos sekretoriato finansinį, ūkinį ir materialinį aptarnavimą</t>
  </si>
  <si>
    <t>Tarybos sekretoriato darbuotojų (pareigybių)</t>
  </si>
  <si>
    <t>Įvykę skelbti Tarybos, Komitetų, Komisijų posėdžiai</t>
  </si>
  <si>
    <t>Laiku paskelbti ir įvykdyti Tarybos priimti sprendimai</t>
  </si>
  <si>
    <t>11.01.01.02.01</t>
  </si>
  <si>
    <t>Organizuoti Savivaldybės tarybos darbą</t>
  </si>
  <si>
    <t>Užtikrintas tarybos narių darbas</t>
  </si>
  <si>
    <t>11.01.01.02.02</t>
  </si>
  <si>
    <t>Apmokėti Mero fondo išlaidas</t>
  </si>
  <si>
    <t>2022 m. Mero išlaidos iš fondo apmokamos pagal poreikį.</t>
  </si>
  <si>
    <t>11.01.01.02.03</t>
  </si>
  <si>
    <t>Organizuoti Mero sekretoriato darbą</t>
  </si>
  <si>
    <t>11.01.01.03</t>
  </si>
  <si>
    <t>Užtikrinti Kontrolės ir audito tarnybos finansinį, ūkinį bei materialinį aptarnavimą</t>
  </si>
  <si>
    <t>Atlikta auditų</t>
  </si>
  <si>
    <t>11.01.01.05</t>
  </si>
  <si>
    <t>Užtikrinti Šiaulių apskaitos centro veiklą</t>
  </si>
  <si>
    <t>Užtikrintas centralizuotos apskaitos ir viešųjų pirkimų vykdymas</t>
  </si>
  <si>
    <t>Lėšos pagal išlaidų straipsnį 2.1.1.1.1.1. (darbo užmokesčio lėšos ir sukaupti atostoginiai) liko nepanaudotos dėl Šiaulių apskaitos centro darbuotojų atostogų eilės pasikeitimo 2022 m. II ketv. Šios nepanaudotos lėšos bus panaudotos 2022 m. III ketv.  darbuotojų darbo užmokesčiui ir atostoginiams išmokėti.
Lęšos pagal išlaidų straipsnį 2.2.1.1.1.20 - panaudota pagal faktinį poreikį.
Lėšos pagal išlaidų straipsnį 2.2.1.1.1.21 - liko nepanaudota dėl viešųjų pirkimų procedūrų ir sąskaitų – faktūrų už paslaugas pateikimo terminų. Šios lėšos bus panaudotos vykdant įstaigos veiklą 2022 m.III ketv.
III ketv. Lėšos liko nepanaudotos dėl Šiaulių apskaitos centro darbuotojų atostogų eilės pasikeitimo 2022 m. III ketv., darbuotojų ligos ir nemokamų atostogų atvejų. Lėšos komunalinėms paslaugoms panaudotos pagal faktinį poreikį. Lėšos kitoms prekėms ir paslaugoms bei turtui įsigyti liko nepanaudotos dėl viešųjų pirkimų procedūrų ir sąskaitų – faktūrų už paslaugas pateikimo terminų (sąskaitos - faktūros pateiktos 2022 m. spalio mėn.). Lėšos bus panaudotos vykdant įstaigos veiklą 2022 m. IV ketv.
IV ketv. panaudota 99,11 % asignavimų. Likutį sudaro komunalinių paslaugų išlaidoms skirtos lėšos (9,7 tūkst. Eur) ir  patalpų nuomai skirtos lėšos (1,1 tūkst. Eur) - asignavimai panaudoti pagal faktinį 2022 m. poreikį.</t>
  </si>
  <si>
    <t>11.01.01.09</t>
  </si>
  <si>
    <t>Užtikrinti projektų vykdymo priežiūros ir kitas inžinerines paslaugas</t>
  </si>
  <si>
    <t>Įgyvendintos inžinerinės paslaugos</t>
  </si>
  <si>
    <t>11.01.01.10</t>
  </si>
  <si>
    <t>Likviduoti įvykių, ekstremalių įvykių ir ekstremalių situacijų pasekmes</t>
  </si>
  <si>
    <t>Likviduotos įvykusių ekstremalių įvykių/situacijų pasekmės</t>
  </si>
  <si>
    <t>11.01.01.11</t>
  </si>
  <si>
    <t>Parengti Šiaulių m. 2025–2033 m. strateginį plėtros ir 2025–2027 m. strateginį veiklos planus</t>
  </si>
  <si>
    <t>Parinktas rengėjas</t>
  </si>
  <si>
    <t>11.01.02.</t>
  </si>
  <si>
    <t>Tinkamai įgyvendinti valstybines (perduotas savivaldybei) funkcijas</t>
  </si>
  <si>
    <t>11.01.02.01</t>
  </si>
  <si>
    <t>Deklaruoti gyvenamąją vietą</t>
  </si>
  <si>
    <t>11.01.02.02</t>
  </si>
  <si>
    <t>Teikti duomenis Valstybės registrui</t>
  </si>
  <si>
    <t>11.01.02.03</t>
  </si>
  <si>
    <t>Teikti pirminę teisinę pagalbą</t>
  </si>
  <si>
    <t>11.01.02.05</t>
  </si>
  <si>
    <t>Registruoti civilinės būklės aktus</t>
  </si>
  <si>
    <t>11.01.02.06</t>
  </si>
  <si>
    <t>Tvarkyti Gyventojų registrą</t>
  </si>
  <si>
    <t>11.01.02.07</t>
  </si>
  <si>
    <t>Vykdyti valstybinės kalbos vartojimo kontrolę</t>
  </si>
  <si>
    <t>11.01.02.09</t>
  </si>
  <si>
    <t>Įgyvendinti jaunimo politiką</t>
  </si>
  <si>
    <t>11.01.02.10</t>
  </si>
  <si>
    <t>Tvarkyti archyvinius dokumentus</t>
  </si>
  <si>
    <t>11.01.02.11</t>
  </si>
  <si>
    <t>Administruoti mobilizaciją</t>
  </si>
  <si>
    <t>11.01.02.12</t>
  </si>
  <si>
    <t>Organizuoti civilinę saugą</t>
  </si>
  <si>
    <t>11.01.02.13</t>
  </si>
  <si>
    <t>Vykdyti žemės ūkio funkcijas</t>
  </si>
  <si>
    <t>11.01.02.14</t>
  </si>
  <si>
    <t>Administruoti Užimtumo didinimo programą</t>
  </si>
  <si>
    <t>11.01.02.15</t>
  </si>
  <si>
    <t>Administruoti socialines pašalpas</t>
  </si>
  <si>
    <t>11.01.02.17</t>
  </si>
  <si>
    <t>Administruoti socialinę paramą mokiniams</t>
  </si>
  <si>
    <t>11.01.02.18</t>
  </si>
  <si>
    <t>Administruoti socialinę globą</t>
  </si>
  <si>
    <t>11.01.02.20</t>
  </si>
  <si>
    <t>Administruoti būsto nuomos ar išperkamosios būsto nuomos mokesčių dalies kompensacijas</t>
  </si>
  <si>
    <t>11.01.02.21</t>
  </si>
  <si>
    <t>Užtikrinti informacijos apie neveiksnių asmenų būklę persvarstymą</t>
  </si>
  <si>
    <t>Komisijos priimti sprendimai kreiptis į teismą</t>
  </si>
  <si>
    <t>Komisijos priimti sprendimai.</t>
  </si>
  <si>
    <t>Komisijos inicijuoti asmens būklės peržiūrėjimai</t>
  </si>
  <si>
    <t>2022 m. I ketv. komisija organizavo 3 posėdžius, inicijavo 35 asmenų būklės peržiūrėjimo bylas, išnagrinėjo 56 komisijos inicijuotas asmens būklės peržiūrėjimo bylas.</t>
  </si>
  <si>
    <t>11.01.02.22</t>
  </si>
  <si>
    <t>Organizuoti tarpinstitucinio bendradarbiavimo koordinatoriaus darbą</t>
  </si>
  <si>
    <t>11.01.02.23</t>
  </si>
  <si>
    <t>Atlikti erdvinių duomenų rinkinio tvarkymo funkciją</t>
  </si>
  <si>
    <t>Atlikta tvarkymo funkcija</t>
  </si>
  <si>
    <t>11.01.04.</t>
  </si>
  <si>
    <t>Diegti ir palaikyti Savivaldybės administracijoje modernias informacines sistemas</t>
  </si>
  <si>
    <t>11.01.04.03</t>
  </si>
  <si>
    <t>Įgyvendinti administracinės naštos mažinimo planą ir organizuoti plano įgyvendinimo stebėseną</t>
  </si>
  <si>
    <t>Įgyvendintų priemonių plano veiklų</t>
  </si>
  <si>
    <t>11.01.04.04</t>
  </si>
  <si>
    <t>Gerinti asmenų aptarnavimo ir paslaugų kokybę Šiaulių miesto savivaldybėje</t>
  </si>
  <si>
    <t>Patobulinti viešojo administravimo paslaugų organizavimo ir teikimo procesai</t>
  </si>
  <si>
    <t>11.01.04.04.02</t>
  </si>
  <si>
    <t>Gerinti paslaugų teikimo ir asmenų aptarnavimo kokybę Šiaulių miesto savivaldybės administracijoje ir Šiaulių miesto savivaldybės viešojoje bibliotekoje</t>
  </si>
  <si>
    <t>Inicijuotos projekto pratęsimo, veiklų pakeitimo ir papildomo finansavimo pritraukimo procedūros. Pasirašyta sutartis Nr. SŽ-360  dėl Virtualaus asistento, pasitelkiančio dirbtinio intelekto technologiją, sukūrimo paslaugos.</t>
  </si>
  <si>
    <t>11.01.04.04.03</t>
  </si>
  <si>
    <t>Gerinti viešųjų ir administracinių paslaugų (miesto tvarkymo, infrastruktūros priežiūros ir kt.) kokybę Šiaulių miesto savivaldybėje (II etapas)</t>
  </si>
  <si>
    <t>Parengti dokumentai pakartotiniam informacinės sistemos įdiegimo paslaugos pirkimui.</t>
  </si>
  <si>
    <t>11.01.04.08</t>
  </si>
  <si>
    <t>Įgyvendinti projektą „Bendradarbiavimas pasienio regione siekiant užtikrinti saugumą ir viešųjų paslaugų efektyvumą“</t>
  </si>
  <si>
    <t>Įrengtų vaizdo stebėjimo kamerų</t>
  </si>
  <si>
    <t>Atliktas projekto finansavimo sutarties keitimas, sudarytos sutartys dėl 6 stacionarių vaizdo stebėjimo kamerų, 6 garsiakalbių įrengtoms vaizdo stebėjimo kameroms, duomenų apdorojimo serverio įsigijimo.</t>
  </si>
  <si>
    <t>11.01.06.</t>
  </si>
  <si>
    <t>Užtikrinti finansinių įsipareigojimų vykdymą</t>
  </si>
  <si>
    <t>11.01.06.01</t>
  </si>
  <si>
    <t>Vykdyti paskolų grąžinimą, palūkanų už paskolas mokėjimą ir kitus finansinius  įsipareigojimus</t>
  </si>
  <si>
    <t>Pasirašytų paskolų sutarčių</t>
  </si>
  <si>
    <t>Įvykdyti skoliniai įsipareigojimai</t>
  </si>
  <si>
    <t>11.01.06.02</t>
  </si>
  <si>
    <t>Kompensuoti keleivių vežimo vietiniais maršrutais organizavimo išlaidas</t>
  </si>
  <si>
    <t>Įvykdyti sutartiniai įsipareigojimai</t>
  </si>
  <si>
    <t>11.01.07.</t>
  </si>
  <si>
    <t>Užtikrinti pagrindinius lygių galimybių principus Savivaldybės administracijoje</t>
  </si>
  <si>
    <t>11.01.07.01</t>
  </si>
  <si>
    <t>Sudaryti galimybes Savivaldybės administracijos darbuotojams dirbti nuotoliniu būdu ir taikyti lanksčius darbo grafikus</t>
  </si>
  <si>
    <t>Darbuotojai,  dirbantys pagal darbo sutartis ir valstybės karjeros tarnautojai</t>
  </si>
  <si>
    <t>Visiems darbuotojams nuotolinio darbo galimybė buvo suteikta atsižvelgiant į poreikį ir vadovaujantis Nuotolinio darbo Šiaulių miesto savivaldybės administracijoje tvarka.</t>
  </si>
  <si>
    <t>11.01.07.02</t>
  </si>
  <si>
    <t>Teikti pasiūlymus dėl lygių galimybių kriterijų/krypčių numatymo Savivaldybės vykdomose programose</t>
  </si>
  <si>
    <t>Pateikti pasiūlymai</t>
  </si>
  <si>
    <t>11.01.07.03</t>
  </si>
  <si>
    <t>Užtikrinti informacijos sklaidą lygių galimybių klausimais</t>
  </si>
  <si>
    <t>Parengta straipsnių</t>
  </si>
  <si>
    <t>Nuo 2022 m. balandžio 1 d. Šiaulių apskrities televizijoje pradėta transliuoti TV laida "Savaitės aktualijos" su vertimu į gestų kalbą.
2022 m. II ketvirtį 2 straipsniai interneto svetainėje www.siauliai.lt  Lygių galimybių užtikrinimo skiltyje. 13 laidų  "Savaitės aktualijos" su vertimu į gestų kalbą Šiaulių apskrities televizijoje.
2022 m. III ketvirtį buvo 4 TV laidos su vertimu į gestų kalbą.</t>
  </si>
  <si>
    <t>11.02.</t>
  </si>
  <si>
    <t>Plėtoti bendradarbiavimą su socialiniais partneriais</t>
  </si>
  <si>
    <t>Prevencinės programos įgyvendinimas</t>
  </si>
  <si>
    <t>Finansuota bendruomeninių projektų</t>
  </si>
  <si>
    <t>11.02.01.</t>
  </si>
  <si>
    <t>Plėtoti bendradarbiavimą su miesto teisėtvarkos institucijomis ir vietos bendruomene</t>
  </si>
  <si>
    <t>11.02.01.01.</t>
  </si>
  <si>
    <t>Įgyvendinti prevencines programas</t>
  </si>
  <si>
    <t>Įgyvendinta projektų</t>
  </si>
  <si>
    <t>11.02.01.03.</t>
  </si>
  <si>
    <t>Stiprinti bendruomeninę veiklą savivaldybėje</t>
  </si>
  <si>
    <t>Finansuota projektų</t>
  </si>
  <si>
    <t>11.02.01.04</t>
  </si>
  <si>
    <t>Skatinti nevyriausybinių organizacijų veiklą ir užtikrinti jų plėtrą</t>
  </si>
  <si>
    <t>Suorganizuota mokymų</t>
  </si>
  <si>
    <t>11.02.01.05</t>
  </si>
  <si>
    <t>Rengiant ir įgyvendinant Šiaulių vietos veiklos grupės strategiją</t>
  </si>
  <si>
    <t>Pasirašytos projektų finansavimo sutartys</t>
  </si>
  <si>
    <t>Pasirašytos 3 biudžeto lėšų naudojimo sutartys dėl dalinio projektų bendrafinansavimo 2022 m. Taryba pritarė 2 naujų projektų bendrafinansavimui. Iš viso pagal šią programą savivaldybės taryba yra priėmusi sprendimus dėl 14 projektų dalinio bendrafinansavimo iš kurių 3 projektai yra pilnai baigti įgyvendinti.</t>
  </si>
  <si>
    <t>11.02.01.06</t>
  </si>
  <si>
    <t>Įgyvendinti bendruomenės iniciatyvas, skirtas gyvenamajai aplinkai gerinti</t>
  </si>
  <si>
    <t>11.02.01.07</t>
  </si>
  <si>
    <t>Dalyvių</t>
  </si>
  <si>
    <t>Jaunimo, dalyvaujančio projektinėje veikloje, dalis nuo bendro jaunimo skaičiaus</t>
  </si>
  <si>
    <t>11.02.01.08</t>
  </si>
  <si>
    <t>Užtikrinti Integracijos paslaugų trečiųjų šalių piliečiams teikimo ir stiprinimo plano įgyvendinimą</t>
  </si>
  <si>
    <t>Parengtas integracijos paslaugų teikimo planas</t>
  </si>
  <si>
    <t>Parengta padalomoji medžiaga</t>
  </si>
  <si>
    <t>Parengta paraiška lėšoms gauti</t>
  </si>
  <si>
    <t>Informacijos interneto svetainėse (savivaldybės, biudžetinių įstaigų, nevyriausybinių organizacijų ir kt.) viešinimas</t>
  </si>
  <si>
    <t>1.</t>
  </si>
  <si>
    <t>SAVIVALDYBĖS BIUDŽETAS IŠ VISO, IŠ JO:</t>
  </si>
  <si>
    <t>Savivaldybės biudžeto lėšos (SB)</t>
  </si>
  <si>
    <t>Skolintos lėšos (PS)</t>
  </si>
  <si>
    <t>Lėšos ugdymo reikmėms VB (UR)</t>
  </si>
  <si>
    <t>Lėšos valstybinėms funkcijoms VB (VF)</t>
  </si>
  <si>
    <t>Valstybės biudžeto lėšos (VB)</t>
  </si>
  <si>
    <t>Kelių priežiūros ir plėtros programos lėšos VB (KPPP)</t>
  </si>
  <si>
    <t>Valstybės investicijų projektų lėšos VB (VIP)</t>
  </si>
  <si>
    <t>Europos Sąjungos lėšos (ES)</t>
  </si>
  <si>
    <t>Įstaigos pajamų lėšos (PL)</t>
  </si>
  <si>
    <t>Lėšų likutis ataskaitinio laikotarpio pabaigoje (LIK)</t>
  </si>
  <si>
    <t>Aplinkos apsaugos rėmimo specialiosios programos lėšos SB (AA)</t>
  </si>
  <si>
    <t>Lėšų likutis iš Aplinkos apsaugos rėmimo specialiosios programos SB (AA/LIK)</t>
  </si>
  <si>
    <t>2.</t>
  </si>
  <si>
    <t>KITOS LĖŠOS IŠ VISO, IŠ JŲ:</t>
  </si>
  <si>
    <t>Valstybės biudžeto lėšos KT (VB)</t>
  </si>
  <si>
    <t>Europos Sąjungos lėšos KT (ES)</t>
  </si>
  <si>
    <t>Kitų šaltinių lėšos KT (KL)</t>
  </si>
  <si>
    <t>IŠ VISO:</t>
  </si>
  <si>
    <t>2022 metų įvykdymo proc.</t>
  </si>
  <si>
    <t>Suorganizuotas 1 verslumo skatinimo renginys, Ch. Frenkelio konferencija, 1 renginys investuotojams.</t>
  </si>
  <si>
    <t>Reklaminės kampanijos "Šiauliai - karjeros miestas" metu publikuota virš 30 straipsnių apie Šiaulių miestą. Rengti pranešimai socialiniuose tinkluose, naujienlaiškiai ir kitokio pobūdžio pranešimai; straipsnis žurnalui "The Baltic Times".</t>
  </si>
  <si>
    <t xml:space="preserve">Pasirašytos 9 dalinio finansavimo sutartys su NVO. </t>
  </si>
  <si>
    <t>Projektų įgyvendinimo pabaigoje, pasikeitus, šildymo, elektros kainoms, NVO keitė projektų veiklų įgyvendinimo strategijas, todėl į Savivaldybės biudžetą buvo grąžintos nepanaudotos projektams įgyvendinti skirtos lėšos.</t>
  </si>
  <si>
    <t>Nusitęsus viešųjų pirkimų procedūroms, pirkimai pradėti tik 2022 m. gruodžio mėnesį, todėl neparinktas rengėjas.</t>
  </si>
  <si>
    <t>Atliktas Dviračių kalnelių (pumptrack) trasos Dainų parke projektas ir rangos darbai.</t>
  </si>
  <si>
    <t>2022 m. Rodiklis viršytas, nes metų bėgyje perduota UAB ,,Šiaulių vandenys" daugiau paviršinių nuotekų tinklų.</t>
  </si>
  <si>
    <t xml:space="preserve">1. Architektų g. nuo J.Jablonskio iki Gegužių g. įrengtas naujas šaligatvis (pėsčiųjų ir dviračių takas); 2. Dubijos - Serbentų g. sankryžos rekonstrukcija ; 3. Sevastopolio g. atnaujintas pėsčiųjų takas; 4. Naujo ryto g. Nuo J.Sondeckio iki Rasos g. atnaujintas pėsčiųjų takas </t>
  </si>
  <si>
    <t>Sutvarkytos 2 garažų teritorijos Žemaitės g. ir Sembos g. Išvežta 283,36 t atliekų ir 23,71 t padangų.</t>
  </si>
  <si>
    <t>Įrengiant naują asfaltą rekonstruojamose gatvėse tiriamos asfaltbetonio fizikinės - mechaninės savybės, storis, asfaltbetonio mišinio bitumo kiekis ir granuliometrinė sudėtis, atliekami kiti bandymai</t>
  </si>
  <si>
    <t xml:space="preserve">2022 metais vykdomas Donelaičio kapinių kolumbariumo projektavimas.  </t>
  </si>
  <si>
    <t xml:space="preserve">2022 metais Dausiškių kapinėse rangovas įrengė viešuosius sanitarinius mazgus, buitinių nuotekų tinklus, sutvarkė aplinką, įrengė apie 90% vidaus kelių. </t>
  </si>
  <si>
    <t>Dėl anksti prasidėjusios žiemos rangovas technologiškai  negalėjo vvykdyti rangos darbų, dėl ESO sąlygų transformatorinei pakeitimo ir transformatorinės įrengimo darbų uždelsimo (ne dėl rangovo kaltės) rangovas negalėjo atlikti iki galo visų elektrotechnikos darbų. Darbų atlikimo terminas atidėtas iki 2023 metų II ketvirčio.</t>
  </si>
  <si>
    <t>Dėl užsitęsusių paslaugų pirkimo procedūrų projektavimo darbai persikėlė į 2023 metus. Planuojama 2023 metais I-ame ketvirtyje gauti statybos leidimą ir pradėti rangos darbų pirkimo procedųras.</t>
  </si>
  <si>
    <t>Viso programos priemonių</t>
  </si>
  <si>
    <t>Priemonė buvo įvykdyta pagal planą</t>
  </si>
  <si>
    <t>Vykdant priemonę buvo pasiekta vertinimo kriterijų reikšmių mažiau nei 50 %</t>
  </si>
  <si>
    <t>Vykdant priemonę buvo pasiekta vertinimo kriterijų reikšmių 50 % ir daugiau</t>
  </si>
  <si>
    <t>Viso priemonių:</t>
  </si>
  <si>
    <t>Vykdant priemonę buvo pasiekta daugiau vertinimo kriterijų reikšmių nei planuota</t>
  </si>
  <si>
    <t>Priemonė neįvykdyta, t.y. nepasiekta planuota vertinimo kriterijų reikšmė</t>
  </si>
  <si>
    <t>2022 m. pabaigtas Pakalnės g. 6A administracinių patalpų remontas, suremontuotas įėjimo į Savivaldybės administracijos pastatą koridorius, kabinetai Švietimo skyriaus patalpose.</t>
  </si>
  <si>
    <t>Nepanaudotos lėšos Administracijos pastato stogo dalies remontui (75 000 Eur.) buvo perkeltos komunaliniams mokesčiams apmokėti, nes užtruko projektinės dokumentacijos viešojo pirkimo procedūros. Likusios lėšos, kurios skirtos Archyvo patalpų remontui, perkeltos į 2023 m. (rangos darbai planuojami baigti kovo mėnesį).</t>
  </si>
  <si>
    <t>Vidutiniškai kiekvienas Savivaldybės administracijos darbuotojas per 2022 m. dalyvavo daugiau kaip 2 mokymuose (2,36). Atsižvelgiant į Administracijos darbuotojų prioritetų sąrašą buvo suorganizuoti šie mokymai: „Viešojo sektoriaus subjektų turto valdymas ir apskaita: naujausia praktika“, MS Excel mokymai, „Grįžtamojo ryšio teikimo pokalbiai“, Administracijos vadovų lygmens darbuotojų  mokymai, įgyvendinant projektą „Paslaugų teikimo ir asmenų aptarnavimo kokybės gerinimas Šiaulių miesto savivaldybės administracijoje ir Šiaulių miesto savivaldybės viešojoje bibliotekoje”, „Civilinė sauga: pasirengimas karo atveju“.</t>
  </si>
  <si>
    <t xml:space="preserve">2022 m. pabaigtas Pakalnės g. 6A administracinių patalpų remontas, suremontuotas įėjimo į Savivaldybės administracijos pastatą koridorius, kabinetai Švietimo skyriaus patalpose.
</t>
  </si>
  <si>
    <t xml:space="preserve">Nepanaudotos lėšos Administracijos pastato stogo dalies remontui (75 000 Eur.) buvo perkeltos komunaliniams mokesčiams apmokėti, nes užtruko projektinės dokumentacijos viešojo pirkimo procedūros. Likusios lėšos, kurios skirtos Archyvo patalpų remontui, perkeltos į 2023 m. (rangos darbai planuojami baigti kovo mėnesį).
</t>
  </si>
  <si>
    <t xml:space="preserve">Civilinės saugos ir teisėtvarkos, Sporto, Sveikatos, Ekonomikos ir investicijų, Miesto ūkio ir aplinkos, Socialinių paslaugų, Švietimo,Kultūros skyriai,  Jaunimo reikalų, Nevyriausybinių organizacijų koordinatoriai raštu informavo dėl lygių galimybių kriterijų/krypčių numatymo Savivaldybės vykdomose  2022 m. programose ir projektuose.
</t>
  </si>
  <si>
    <t xml:space="preserve">Rengiant sporto komplekso techninį projektą iškilo būtinybė koreguoti Šiaulių miesto bendrąjį planą dėl reikiamo pastato aukščio (27 m). Bendrojo plano rengimo procesas užtruko 6 mėn. Statybos leidimą planuojama gauti 2023-04-17. </t>
  </si>
  <si>
    <t>Šiaulių miesto savivaldybės administracijos direktoriaus ir</t>
  </si>
  <si>
    <t xml:space="preserve">Šiaulių miesto savivaldybės administracijos </t>
  </si>
  <si>
    <r>
      <t>Pilnai iškelti</t>
    </r>
    <r>
      <rPr>
        <sz val="12"/>
        <rFont val="Times New Roman"/>
        <family val="1"/>
        <charset val="186"/>
      </rPr>
      <t xml:space="preserve"> 3 </t>
    </r>
    <r>
      <rPr>
        <sz val="12"/>
        <color rgb="FF000000"/>
        <rFont val="Times New Roman"/>
        <family val="1"/>
        <charset val="186"/>
      </rPr>
      <t>inžineriniai tinklai (ryšių ir elektros kabeliai) (Radviliškio g. 49, Šiauliai).</t>
    </r>
  </si>
  <si>
    <t xml:space="preserve">2022 metų kasinės išlaidos </t>
  </si>
  <si>
    <t>2022 metų kasinės išlaidos</t>
  </si>
  <si>
    <t>Atsisakyta rengti Bendrojo plano stebėseną. Suplanuota Bendrojo plano keitimo procedūras ir Bendrojo plano stebėseną atlikti vienu projektu. 2023 m. SVP plane suplanuotas Bendrojo plano pakeitimas ir jo sudėtine dalis - Bendrojo plano stebėsena.</t>
  </si>
  <si>
    <t>Bendrojo plano koregavimas rengiamas pagal grafiką. Grafike BP parengimo pabaiga numatyta 2023-06-02.</t>
  </si>
  <si>
    <t>Teritorijos tarp Gegužių, Architektų, Gardino ir Aido gatvių Šiauliuose detaliojo plano rengimo užbaigimas nukeltas į 2023 m III ketv., dėl ginčo su AB "Žemaitijos pienas"</t>
  </si>
  <si>
    <t>III - Planuojama pabaigti 2022 m. IV ketv. 
IV - Planuojama pabaigti 2023 m., Parengtas detalusis planas, sprendiniai  peržiūrimi ir koreguojami pagal teismo sprendimą.</t>
  </si>
  <si>
    <t>II - Nuspręsta neberengti detalaus, nes 2022 m. balandžio 7 d. parengtas Tarybos sprendimas Nr. T-126 ,,Dėl žemės sklypo dalies paėmimo visuomenės poreikiams“.</t>
  </si>
  <si>
    <t>2022-04-05 paslaugų sutarties Nr. SŽ-453 grafike darbų pabaiga numatyta 2023-01-05</t>
  </si>
  <si>
    <t>Kilus teisminiam  ginčui  dėl teritorijos tarp Gegužių, Architektų, Gardino ir Aido gatvių Šiauliuose detaliojo plano sprendinių, liko neįgyvendinta plano dalis -  parengti kadastrinių matavimų bylas suformuotiems žemės sklypams, todėl susidarė 6 590,86 Eur likutis.</t>
  </si>
  <si>
    <t>Neįgyvendinta ir lėšos nepanaudotos dėl poreikio nebuvimo</t>
  </si>
  <si>
    <t>Paskelbtas idėjos konkursas III ketv.  IV ketv. planuojamas idėjų vertinimas. IV ketv. Įgyvendinta, konkursas įvyko, jo metu buvo išrinkta paminklo idėja.</t>
  </si>
  <si>
    <t>Neįgyvendinta ir lėšos nepanaudotos dėl užsitęsusio paminklo "Tautos laisvė" idėjos konkurso</t>
  </si>
  <si>
    <t>Vyksta konfliktas dėl skirtingų autoriaus ir komisijos narių nuomonių. Darbai nukeliami į 2023 m.</t>
  </si>
  <si>
    <t>Lieporių parko vaikų žaidimo aikštelės projektas nukeliamas į 2023 m.</t>
  </si>
  <si>
    <t>Projektas KĮ "Saulė" salės akustikos projektavimo pirkimo organizavimas ir projektavimas perduotas KĮ "Saulė", todėl lėšos 33,0 tūkst. Eurų nebuvo panaudotos. Neįsisavinta 150133,5 eur, nes užsitęsė projektavimo darbų ir ekspertizės paslaugų atlikimas.</t>
  </si>
  <si>
    <t>Tikslinamos kultūros paveldo objekto - Žuvininkų piliakalnio su gyvenviete vertingosios savybės įvertinus projektinės dokumentacijos sprendinius,  darbai pradėti 2023 m. II ketv. metų pavasarį, kada prasideda naujas archeologinių tyrimų sezonas (sezonas prasideda nuo kovo 1 dienos ), nes darbai gali būti atliekami tik kartu su privaloma archeologo priežiūra (ši teritorija yra archeologinis objektas). Lėšos nepanaudotos, nes už parengtą Metalinės tvoros įrengimo A. ir N. Zubovų parke, šalia Dvaro g., techninis darbo projektą nebuvo galima atsiskaityti su tiekėjais, kol nebus atlikta projekto ekspertizė.</t>
  </si>
  <si>
    <t>2022 m. baigti koncertinės įstaigos „Saulė“ priestato statybos darbai. Priestate įrengtos patalpos repeticijoms, artistų persirengimo ir poilsio kambariai, grimo kambariai, orkestro kambarys. Praplėsta scena iki beveik  250 kvadratinių metrų, įsigyti ir sumontuoti baldai. Repeticijų patalpos  visiškai paruoštos kokybiškam kolektyvų darbui. Vykdomi Šiaulių Dailės galerijos pastato Vilniaus g. 245, Šiauliai, paprastojo remonto darbai. Nuo 2022-11-15 iki 2023-03-15  - technologinė pertrauka dėl darbų, kurių negalima atlikti dėl oro sąlygų žiemos sezonu.</t>
  </si>
  <si>
    <t>Lietuvos kultūros taryba Tolygios kultūrinės raidos programos II etape finansavo mažiau projektų, nei buvo tikėtasi (2021 m. I etape finansuota 23 projektai, II etape - 17).</t>
  </si>
  <si>
    <t>Rodiklio pavadinimas turi būti  „Įgyvendintų Tolyguios kultūrinės raidos projektų“, planinė reikšmė turi būti 40.</t>
  </si>
  <si>
    <t>14,1 tūkst. Eur SB lėšų sutaupyta komunalinėms paslaugoms, nes įstaigose buvo vykdomi taupymo planai ir lėšos neperkeltos į kitus ekon. kl. straipsnius. Iš 70,4 tūkst. Eur pajamų lėšų (PL) 59,7 tūkst. Eur sudaro neuždirbtos lėšos, 10,7 tūkst. Eur sutaupyta komunalinėms išlaidoms. KT (VB) 20,3 tūkst. Eur yra negautos lėšos iš Lietuvos kultūros tarybos. Rėmėjų ir ir iš kitų VSS lėšos 25,6 tūkst. Eur bus naudojamos kitoms prekėms ir paslaugoms pagal poreikį (stebėjimo kameroms įsigyti, kolektyvų aprangai ir kūrybinėms išvykoms, kompaktinės plokštelės leidybai ir kt.).</t>
  </si>
  <si>
    <t>CPVA tebevertinant tinkamų deklaruoti darbų apimtis, dar nepatvirtintas galutinis mokėjimo prašymas.</t>
  </si>
  <si>
    <t>2022 m.  rugsėjo 26 d. buvo paskelbtas rangos darbų konkursas „Kultūros paskirties pastato (koncertinės salės „Saulė“) Tilžės g. 140 Šiauliuose, rekonstravimo II etapas“. Konkursas užsitęsė dėl tiekėjų trūkumo. 2023 m. pradžioje konkursas įvyko, vertinami tiekėjo dokumentai.</t>
  </si>
  <si>
    <t>2022 m. rangos darbų konkursas vyko keletą kartų, nes neatsirado tiekėjų, norinčių dalyvauti konkurse. Rangos darbų sutartis pasirašyta 2022-12-30. Rangos darbų neatlikta.</t>
  </si>
  <si>
    <t>Rangos darbų sutartis pasirašyta 2022-11-15, rengiamas darbo projektas, pradėti vykdyti rangos darbai.</t>
  </si>
  <si>
    <t>Projekto partneriai nedeklaravo įrengti likusių ženklų bei nepateikė sąskaitų mokėjimo prašymui teikti, dėl to suplanuotos lėšos 2022 m. nepanaudotos.</t>
  </si>
  <si>
    <t>Turizmo informacijos centras atliko visas suplanuotas veiklas. Buvo  koreguoti visų projekto partnerių darbai ir veiklos, kurios nukeltos į 2023 m., lėšos perkeltos  į 2023 m.,  projektas pratęstas iki 2023-06-01.</t>
  </si>
  <si>
    <t>Dėl projekto vadovaujančiojo partnerio nesukurto bendro turistinio produkto kitiems partneriams buvo negalima atlikti 2022 m. numatytų veiklų ir darbų, kurie perkelti į 2023 m. Lėšos perkeltos į 2023 m., projektas pratęstas iki 2023-06-01.</t>
  </si>
  <si>
    <t>Panaudota 88 proc. planuotų 03 programos asignavimų. Planuotas surinkti atliekų kiekis viršytas.</t>
  </si>
  <si>
    <t>Panaudota 99,8 proc. asignavimų.</t>
  </si>
  <si>
    <t>Per 2022 m. surinkta 4398,0 tūkst. eur rinkliavos.</t>
  </si>
  <si>
    <t>Sutvarkytas didesnis nei planuota atliekų kiekis</t>
  </si>
  <si>
    <t>2021-08-06 nutraukta 2018-10-15 pasirašyta sutartis Nr. S-335 „Pusiau požeminių konteinerių įsigijimas bei pusiau požeminių konteinerių aikštelių Šiaulių miesto savivaldybės teritorijoje įrengimo statybos projekto parengimas ir rangos darbai“. Paskelbus naują pirkimą, sutartis su tiekėju pasirašyta tik 2022-09-08, todėl nespėta panaudoti suplanuotų lėšų.</t>
  </si>
  <si>
    <t>Kadangi  „Šiaulių regiono maisto ir virtuvės atliekų apdorojimo technologinių įrenginių projektavimo, gamybos, tiekimo ir įrengimo Šiaulių regiono nepavojingų atliekų sąvartyno teritorijoje“ pirkimą teko skelbti pakartotinai, nespėta panaudoti lėšų 2022 m., lėšų poreikis persikelia į 2023 m.</t>
  </si>
  <si>
    <t>Sistema bus pradedama kurti 2023 metais. Ją įdiegus bus galima inventorizuoti miesto želdinius ir sukelti juos į parengtą sistemą.</t>
  </si>
  <si>
    <t>4 kartus buvo skelbtas viešasis pirkimas dėl želdyno įrengimo projekto įgyvendinimo. Buvo pasiūlomos per didelės kainos. Kiekvieną kartą skelbiant iš naujo buvo koreguojama užduotis, atsižvelgiant į gaunamas tiekėjų pastabas dėl padidėjusių želdinių kainų, dėl terminų, dėl garantinio laikotarpio suteikimo. Tačiau kiekvienu atveju paslaugų teikėjai pasiūlydavo per dideles kainas.</t>
  </si>
  <si>
    <t>Pirkimas vykdytas du kartus: pasiūlymų negauta, liko nepanaudotos lėšos, skirtos griovių inventorizacijai.</t>
  </si>
  <si>
    <t>Metų eigoje padidintos planuotų lėšų apimtys dėl padidėjusių darbų apimčių, tačiau nepavyko tiksliai įvertinti 2022 m. darbų apimčių, lėšų poreikis persikėlė į 2023 m.</t>
  </si>
  <si>
    <t>Priemonė vykdoma pagal poreikį. 2022 metais nebuvo gauta pranešimų apie pavojingus radinius.</t>
  </si>
  <si>
    <t>Nepanaudota dėl poreikio nebuvimo. Vasarą dėl lietaus gausos nebuvo užsakinėjami šienavimo darbai, todėl susitaupė lėšos. Lėšos planuotos galimiems remonto darbams, taip pat nepanaudotos, dėl poreikio nebuvimo.
IV ketv. 577,25 Eur lėšų nepanaudota dėl šunų vedžiojimo aikštelių ir kačių šėrimo vietų priežiūros ir remonto poreikio nebuvimo.</t>
  </si>
  <si>
    <t>Dalinis finansavimas skirtas 4 nevyriausybinėms organizacijoms.</t>
  </si>
  <si>
    <t>Už plano parengimą bus apmokėta paslaugų teikėjui tik po suderinimų LR Energetikos ministerijoje bei plano patvirtinimo Šiaulių miesto taryboje.</t>
  </si>
  <si>
    <t>Dėl nutolusių saulės elektrinių rinkoje trūkumo, nutolusios saulės elektrinės įrengimo ir jos priežiūros paslaugų sutartis sudaryta tik 2022-12-29. Planuota 2022 m. atlikti avansinį mokėjimą pagal sutartį, tačiau procedūroms užsitęsus avansas nebuvo išmokėtas.</t>
  </si>
  <si>
    <t>Panaudota 82,6 proc. planuotų 04 programos pirmo tikslo asignavimų.</t>
  </si>
  <si>
    <t xml:space="preserve">Visos lėšos būtų panaudotos, tačiau negauta ir neapmokėta gruodžio mėn. sąskaita už gatvių valymą žiemą. </t>
  </si>
  <si>
    <t xml:space="preserve">Visos lėšos būtų panaudotos, tačiau negauta ir neapmokėta gruodžio mėn. sąskaita už šaligatvių valymą žiemą. </t>
  </si>
  <si>
    <t>Rodiklis viršytas 173 proc.</t>
  </si>
  <si>
    <t>Planuota, kad projekto veiklos įskaitant objektų pridavimo procedūras bus baigtos iki 2022-05-30, užsitęsus fontano pirkimo procedūroms ir objektų užbaigimo procedūroms veiklų terminas pratęstas iki 2023-01-27. Nespėtas gauti paskutinis aktavimas, neišmokėti visi sulaikyti pinigai.</t>
  </si>
  <si>
    <t>Užbaigimo dokumentacija baigta tik 2022 m. gruodžio mėn., nespėta visų patirtų išlaidų deklaruoti CPVA, išlaidų deklaravimas ir paramos lėšų gavimas persikėlė į 2023 m. Taip pat į 2023 m. persikėlė mokėjimas už projekto vykdymo priežiūros paslaugas.</t>
  </si>
  <si>
    <t>Ilgiau nei planuota užsitęsė papildomo finansavimo skyrimo procedūros, procedūros baigtos 2022 m., tačiau finansavimas nebuvo spėtas išmokėti, taip pat, dėl tvarkomų procedūrų techniškai nebuvo galimybių deklaruoti patirtų išlaidų.</t>
  </si>
  <si>
    <t>Patirtos išlaidos deklaruotos, tačiau dėl CPVA darbuotojų nedarbingumo metų gale, dalies išlaidų vertinimas perkeltas į 2023 m., todėl dar negautas visas finansavimas.</t>
  </si>
  <si>
    <t>Didždvario parko rangos darbai vyksta lėčiau nei planuota, todėl mokėjimai persikėlė į 2023 m.</t>
  </si>
  <si>
    <t>Dėl finansavimo sutarties keitimo iš projekto apimties išimant UAB "Šiaulių vandenims" priklausančių tinklų pagerinimo darbus inicijuotas finansavimo sutarties keitimas, užsitęsus darbų užbaigimo procedūroms galutinio mokėjimo prašymo pateikimo terminas nusikėlė į 2022-10-30, todėl ES ir VB lėšos dar negautos. Visos išlaidos yra patirtos, gavus paramos lėšas bus atstatomos patirtos išlaidos.</t>
  </si>
  <si>
    <t>Sprendimą prie ŠMSA vaizdo stebėjimo sistemos pajungti didesnį UAB "Šiaulių gatvių apšvietimas" kamerų skaičių lėmė ŠGA kamerų tinklo plėtra.</t>
  </si>
  <si>
    <t>Vaizdo stebėjimo kamerų, kurioms užtikrintas funkcionalumo tęstinumas, didesnį skaičių sąlygojo faktinė situacija: planuojant rodiklį nebuvo įvertintos kameros, kurios buvo įrengtos iš kitų SVP priemonių projektų ir kurioms įrengimo metu nebuvo įsigytos techninės priežiūros paslaugos.
Dalis šio rodiklio pasiekimui numatytų lėšų (20300 eur) perkeltos į 2023 m. biudžetą.</t>
  </si>
  <si>
    <t>Buvo planuota įrengti vaizdo stebėjimo kameras Vilniaus g. prie Šiaulių viešbučio, tačiau vykdant 2022-11-10 pasirašytą sutartį Nr. SŽ-1699 su UAB "Šiaulių gatvių apšvietimas"  teko perkelti kamerų įrengimo terminą į 2023 m. dėl atsiradusių nuo Paslaugų teikėjo nepriklausančių techninių kliūčių. Šiam projektui skirtos lėšos (29600 eur) perkeltos kaip likutis į 2023 m. biudžetą.  Lešų nepanaudojimo priežastis nr. 2
Taip pat  kameros turėjo būti įrengtos Dainų parke, Architektūros, urbanistikos ir paveldosaugos skyriui vykdant  WC įrengimo projektą. Tačiau Architektūros, urbanistikos ir paveldosaugos skyriui neįvykdžius projekto dėl to, kad negavo pasiūlymų pirkimo metu, šioje teritorijoje kameros nebuvo įrengtos.</t>
  </si>
  <si>
    <t>Rodiklis nebuvo pasiektas dėl užsitęsusios viešųjų pirkimų procedūros.  IV ketvirtyje 2022 m. lapkričio mėn. 24 d. pasirašyta Stacionaraus leistino greičio pažeidimų fiksavimo įrenginio ir pakaitinių vietų projektavimo, įrengimo darbai ir priežiūros paslaugos pirkimo sutartį Nr. SŽ-1772 su UAB „Technologinių paslaugų sprendimai“. Greičio matuoklis ir dvi pakaitinės vietos greičio matuokliui bus įrengtos 2023 m. Lėšų nepanaudojimo priežastis Nr. 3. Lėšos (50600 Eur) perkeltos į 2023 m. biudžetą</t>
  </si>
  <si>
    <t>Nespėta patvirtinti paskutinių aktavimo dokumentų, neišmokėti sulaikyti pinigai, todėl dalis mokėjimų persikėlė į 2023 m.</t>
  </si>
  <si>
    <t>Mažiau panaudota nei planuota Architektų g. šaligatvio įrengimui. Panaudota mažiau, nes prieš sutarties pasirašymą tam tikrą laiką vyko svarstymai dėl darbų finansavimo šaltinio.</t>
  </si>
  <si>
    <t>Nepanaudotos ES lėšos bus atstatytos, kai bus patvirtintas galutinis mokėjimo prašymas. Galutinis mokėjimo prašymas negali būti patvirtintas, kol neatliktos Spindulio gatvės tako užbaigimo procedūros. Užbaigimo procedūros stringa, nes su VĮ Registrų centras nepavyksta suderinti kadastrinių matavimų bylų.  Nuo 2021 m. lapkričio 1 d. pasikeitus teisės aktams  negalima atlikti statybos užbaigimo procedūrų, kol kadastrinių matavimų bylos nepatvirtinamos VĮ Registrų centras.</t>
  </si>
  <si>
    <t>Visos projekto išlaidos faktiškai yra patirtos, tačiau ne visos išlaidos yra deklaruotos. Šiuo metu derinami dokumentai su CPVA dėl delspinigių taikymo. Atitinkamai, gavus suderinimą, bus aktualizuojamas projekto biudžetas, po kurio bus teikiamas tarpinis mokėjimo prašymas dėl šių išlaidų pripažinimo tinkamomis. Lygiagrečiai eilę kartų buvo inicijuojamos procedūros dėl papildomo finansavimo gavimo iš regiono. Atsiradus papildomam likučiui, papildomo finansavimo gavimo procedūros nutraukiamos ir pradedamos iš naujo, jau didesniam lėšų likučiui. Gavus papildomą finansavimą, bus keičiamas projekto finansavimo intensyvumas, mažinant savivaldybės indėlį.</t>
  </si>
  <si>
    <t>Skroblų g. atlikti darbai 55 proc. ,Karklų g. atlikti darbai 76 proc. bus tęsiami 2023 m. Dainavų tako ir gatvės darbai nepradėti dėl užtrukusio projektų rengimo.</t>
  </si>
  <si>
    <t>Užsakymas UAB ,,Šiaulių plentui" dėl asfaltavimo darbų techninių darbo projektų parengimo buvo pateiktas dar 2021.11.25 SIF-1459. Projektų parengimo terminas pratęstas iki 2022.07.15. Per III ketv. atlikta projekto ekspertizė, projektavimas užtruko, asfaltavimo darbai liko neatlikti.</t>
  </si>
  <si>
    <t>Lėšos nepanaudotos, kadangi nebuvo gauta paraiškų.
III ketvirtyje lėšos naudojamos pagal poreikį, nepanaudotos lėšos bus panaudotos IV ketvirtyje. 2022 m. Panaudota lėšų 35330,55 Eur (pagal gautas paraiškas).</t>
  </si>
  <si>
    <t>Suorganizuoti 3 verslumo sklaidos renginiai (2022-06-30);
suorganizuoti 5 verslumo renginiai (2022-09-30).</t>
  </si>
  <si>
    <t>Suteikta 120 val. konsultacijų (2022-06-30);
suteikta 190 val. konsultacijų (2022-09-30).
Per 1-4 ketvirčius viso suteikta 300 val. konsultacijų, konsultuoti 42 asmenys, konsultacijų dėka įsteigta 10 įmonių (2022-11-01).</t>
  </si>
  <si>
    <t>Per 1-2 ketvirčius konsultuota 16 asmenų;
per 1-3 ketvirčius konsultuoti 27 asmenys.
Viso per 1-4 ketvirčius konsultuoti 27 asmenys, suteikta 150 val. konsultacijų, konsultacijų dėka įsteigtos 2 įmonės.
Liko nepanaudota lėšų ir nepasiektas planuotas rodiklis, kadangi programos vykdytojui VšĮ Šiaulių verslo inkubatoriui nuo 2022-11-03 pradėtos likvidavimo procedūros.</t>
  </si>
  <si>
    <t>Surengti 6 mokymai (2022-06-30);
surengta 15 mokymų ir verslo informacinės sklaidos renginių (2022-09-30).
Iš viso per 1-4 ketvirčius įgyvendinta 10 mokymų, 9 renginiai ir 1 išvyka (2022-12-01).</t>
  </si>
  <si>
    <t>Planuojant lėšų poreikį buvo daroma prielaida, kad 2022 m. bus nacionaliniu lygmeniu parengti visi teisės aktai, kurie sudarys prielaidas naujų projektų, kurie galėtų būti finansuojami 2021-2027 m. Europos Sąjungos investicijų fondų programos lėšomis, inicijavimui. Prielaidai nepasitvirtinus, lėšų poreikis persikėlė į 2023 m.</t>
  </si>
  <si>
    <t xml:space="preserve">Nebaigta tvarkyti vandentiekio, esančio P. Motiekaičio g. 18, Šiauliai, dokumentacija. Dėl šios priežasties rangovui nepervestos sulaikytos lėšos ir likusi dalis už dokumentacijos sutvarkymą. Taip pat ESO elektros kabelių iškėlimo darbus atliko už mažesnę kainą ir dalį jiems pervestų lėšų grąžino, tačiau metų eigoje lėšos bus perkeltos į kitą priemonę, kur planuojamas lėšų trūkumas.
ESO elektros kabelių iškėlimo darbus atliko už mažesnę kainą ir dalį jiems pervestų lėšų grąžino. Šios lėšos  bus perkeltos į kitą priemonę (05.01.05.06), kur planuojamas lėšų trūkumas.
</t>
  </si>
  <si>
    <t>1 vnt. - IV ketv. numatoma šalinti medžius iš sklypo adresu Aerousto g. 1, Šiauliai.
III ketv. kompensuota medžių, kurie bus pašalinti iš sklypo Aerouosto g. 1, Šiauliai atkuriamoji vertė, kuri sudarė - 3321,00 Eur.
IV ketv. įvyko viešasis pirkimas medžių kirtimui, tačiau darbų atlikimas dėl oro sąlygų ir apmokėjimas už darbus persikėlė į 2023 m. I ketv. (vertė 8000,00 Eur).</t>
  </si>
  <si>
    <t>Planuota, kad jau bus pradėti logistikos centro rangos darbai, tačiau užsitęsus projektavimo procedūroms, rangos darbų konkursas ir rangos sutarties sudarymas nusikėlė į vėlesnius laikotarpius.</t>
  </si>
  <si>
    <t>Planuojant biudžetą buvo vertinama rizika negauti finansavimo iš Lietuvos Respublikos susisiekimo ministerijos. Finansavimas buvo gautas ir Savivaldybės lėšos taip kaip planuota nepanaudotos.</t>
  </si>
  <si>
    <t xml:space="preserve">Techninės įrangos įsigijimui 1 ketvirtyje lėšų nebuvo planuota. Lėšos suplanuotos II-IV ketvirčiais.
2022 m. I-ą pusmetį lėšos numatytos įsigyti Orlaivių vilkiką ir Mobilų elektros energijos šaltinį.
2022 04 mėn. įsigytas orlaivių vilkikas. Mobilaus elektros energijos šaltinio įsigyti nepavyko dėl logistinės grandinės sutrikimo, nebuvo laiku pristatytos detalės įrenginio gamybai. Lėšų įsisavinimas nusikėlė į 2022 m. IV-iąjį ketvirtį.
</t>
  </si>
  <si>
    <t>I ketv. AB ESO rengia projektą dėl transformatorinės pertvarkymo galiai padidinti. Tik parengus projektą bus poreikis apmokėjimui.
II ketv. AB ESO parengė projektą dėl transformatorinės pertvarkymo galiai padidinti, bei atliko darbus – galia padidinta oro uosto įvadui. UAB Aviatic MRO įvadui galia dar nėra padidinta, laukiama iš AB ESO sąskaita apmokėjimui, po kurios apmokėjimo bus atlikti galios didinimo darbai UAB Aviatic MRO elektros įvadui.
III ketv. apmokėta sąskaita AB ESO dėl galios padidinimo, AB ESO nurodė, kad darbus atliks iki 2023-01-04.
75 tūkst. Eur lėšų atiduota kitos priemonės vykdymui (10.01.05.08).
IV ketv. ESO patikslino, kad darbų nurodytu terminu neatliks, užgarantavo, kad darbai bus atlikti iki 2023 m. vasario 11 d. (dėl karo Ukrainoje stringa transformatorių tiekimas).</t>
  </si>
  <si>
    <t>Dalis lėšų perkelta į priemonę 05.01.05.06 „Pritraukti aukštos kvalifikacijos specialistus į Šiaulių miestą“.</t>
  </si>
  <si>
    <t>Buvo planuota dalyvauti verslo parodoje "Šiauliai 2022". Priemonė nebus įgyvendinta, kadangi organizatoriai nusprendė 2022 m. parodos nerengti.</t>
  </si>
  <si>
    <t>III ketv. įvykdyta anketinė apklausa. Verslo aplinkos analizė ir vertinimas atliktas IV ketvirtyje.</t>
  </si>
  <si>
    <t>I ketv. Lėšos nepanaudotos, kadangi negauta paraiškų. 
II ketv. Lėšos pilnai nepanaudotos, kadangi vienas specialistas dar nepateikė dokumentų, pagal kuriuos būtų galima išmokėti paramą, su kitu aukštos profesinės kvalifikacijos specialistu sutartį galėsime pasirašyti pasibaigus bandomajam laikotarpiui.
III ketvirt. perskirstytos lėšos: iš 5 programos 05.01.05.02 priemonės „Vystyti Šiaulių pramoninio  parko (ŠPP) ir Šiaulių laisvosios ekonominės zonos (Šiaulių LEZ) infrastruktūrą“, papriemonės „Gerinti  investicinę aplinką Šiaulių pramoniniame parke“, 16300 Eur perkelti  į  05.01.05.06  priemonę „Pritraukti aukštos kvalifikacijos specialistus į Šiaulių miestą“. Lėšos naudojamos pagal planą.
2022 m. paramos lėšos neišnaudotos per IV ketvirtį sulaukus mažai paraiškų. Panaudota 36961,44 Eur lėšų</t>
  </si>
  <si>
    <t>Per 2022 metus iš viso atlikta 211 objektų teisinė registracija. Taip pat pažymėtina, kad 2022 m. lapkričio-gruodžio mėn. pagal paslaugų sutartį 57 objektams atlikti užsakymai, kurių vykdymas ir apmokėjimas persikelia į 2023 metus.</t>
  </si>
  <si>
    <t>Visos išlaidos (už turto vertinimą, notarinės išlaidos ir pan.) apmokėtos.</t>
  </si>
  <si>
    <t>Metinis rodiklis pasiektas.</t>
  </si>
  <si>
    <t>Poreikio drausti turto nebuvo.</t>
  </si>
  <si>
    <t>Mokama pagal sąskaitas faktūras. Visos išlaidos apmokėtos.</t>
  </si>
  <si>
    <t>Bendras per 2022 m. įvykdytų teismų sprendimų skaičius - 5.</t>
  </si>
  <si>
    <t>Pasirašytas papildomas susitarimas dėl Koncesijos suteikimo sutarties pratęsimo iki 2023 m. birželio 30 d.</t>
  </si>
  <si>
    <t>Išlaidos dengiamos pagal prašymus. Visi prašymai patenkinti (5 vnt.).</t>
  </si>
  <si>
    <t>Išlaidos II ketvirtyje nebuvo planuojamos.</t>
  </si>
  <si>
    <t>Projekto termino pabaiga buvo numatyta 2022-12-30-31. Nupirkus soc. butus ir  butų pritaikymo neįgaliesiems darbus pigiau nei buvo planuota/skirta, agentūros paprašyta pratęsti projekto įgyvendinimo terminą iki 2023-06-30 bei  leisti papildomai įsigyti už sutaupytas lėšas papildomai butų 2023 m.</t>
  </si>
  <si>
    <t>Valstybės biudžeto lėšos. Mokama pagal pateiktus prašymus.</t>
  </si>
  <si>
    <t>Visos išlaidos apmokėtos.</t>
  </si>
  <si>
    <t>Neįvyko  reprezentacinis sporto renginys Tarptautinės žirgų konkūrų varžybos – Pasaulio taurės etapas.</t>
  </si>
  <si>
    <t>Neįvyko 1 iš 8 reprezentacinių renginių.</t>
  </si>
  <si>
    <t>4650,0 Eur buvo grąžinta į biudžetą, nes nepanaudota komunalinėms išlaidoms.</t>
  </si>
  <si>
    <t>Biudžetinės sporto įstaigos nepanaudojo 241,0 tūkst. Eur. Iš jų: 110,0 tūkst. Eur nepanaudotos lėšos už komunalines paslaugas. Taip pat nebuvo gautos suplanuotos pajamos už teikiamas paslaugas ir nario mokestį.</t>
  </si>
  <si>
    <t>Dėl netinkamų oro sąlygų guminių granulių išbarstymas nukeltas į 2023 m.</t>
  </si>
  <si>
    <t>Nebuvo pasirašyta Finansavimo sutartis su viena organizacija.</t>
  </si>
  <si>
    <t>Panaudotos visos planuotos lėšos.</t>
  </si>
  <si>
    <t>Dėl didelio mokinių ir mokytojų sergamumo olimpiadose dalyvavo mažesnis mokinių skaičius.</t>
  </si>
  <si>
    <t>Užsitęsė Tamo el. dienyno susiejimo su lankomumo sistema darbai. Sąsajai skirtos lėšos (15,0 tūkst. eurų) nukeltos į 2023 metus. Į 2022 m. biudžetą grąžinta 22,6 tūkst.eurų.</t>
  </si>
  <si>
    <t>Planuojant lėšas buvo neteisingai įvertintas 2021 m. ES lėšų likutis, todėl matomas ES lėšų sutaupymas, kurio faktiškai nebuvo. SB lėšų sutaupymas - po galutinio mokėjimo prašymo grąžinti projekto veikloms įgyvendinti panaudotos SB lėšos (finansavimo intensyvumas - 100%, tačiau galutiniai 20% išmokami tik galutinai įgyvendinus projekto veiklas ir pasiekus visus planuotus rezultatus).</t>
  </si>
  <si>
    <t>Dėstytojas į VUŠA skaityti paskaitų neatvyko.</t>
  </si>
  <si>
    <t>Dalis lėšų nepanaudota, nes pagal 2022 m. patvirtintą studijų paramos aprašą planuota finansuoti 40 studentų 4 mėnesius, finansuota  20 studentų 3 mėnesius.</t>
  </si>
  <si>
    <t>Panaudotos visos skirtos lėšos.</t>
  </si>
  <si>
    <t>Šiaulių sporto renginiui „Runway run“ finansavimą gavus iš kitų šaltinių, dalis renginiui skirtų lėšų buvo skirta ,,Rasos“ progimnazijai, kad vadovaudamasi Kokybės krepšelio veiklos tobulinimo planu, įstaiga galėtų vykdyti STEAM veiklas.</t>
  </si>
  <si>
    <t>Didžiausias lėšų likutis (54 procentai) lieka labdaros-paramos, projektinių lėšų sąskaitose. (2.02.; 2.03.).</t>
  </si>
  <si>
    <t>Didždvario gimnazija nepanaudojo 60 eurų, Lieporių gimnazija  -15 eurų, Saulės pradinė mokykla - 25 eurų „Santarvės“ gimnazija 40 eurų, Romuvos gimnazija -1479 eurų.</t>
  </si>
  <si>
    <t>Grąžintos nepanaudotos lėšos: Jovaro progimnazija - 68,07 eurai, ,,Rasos“ progimnazija - 0,44 eurai.</t>
  </si>
  <si>
    <t>Reorganizuojant švietimo įstaigas (Suaugusiųjų mokykla ir ,,Saulėtekio“ gimnazija, N. Valterio jaunimo mokykla, LD ,,Klevelis“ ir LD ,,Berželis“), 170,6 tūkst. eurų skirta pedagoginių darbuotojų išeitinėms kompensacijoms sumokėti, 125,9 tūkst. eurų skirta bendro ugdymo mokyklų pedagoginių darbuotojų darbo užmokesčio trūkumui padengti (pareiginės algos pastoviosios dalies koeficientų padidinimui dėl veiklos sudėtingumo), dirbant su iš Ukrainos atvykusiais mokiniais.</t>
  </si>
  <si>
    <t>Lėšos sutaupytos dėl poreikio nebuvimo - apmokėtos faktiškai pateiktos paraiškos. Paraiškos teikiamos už praėjusį mėnesį.</t>
  </si>
  <si>
    <t>Lėšos nepanaudotos dėl pasikeitusio sutarties 3.4 punkto. 2021 m. pabaigoje, planuojant lėšas 2022 metams, galiojo minėto punkto nuostata, kad lėšos turi būti pervestos per 60 dienų po europinių lėšų pervedimo. Pakeitus 3.4 punktą Partneris, t. y. savivaldybė, savivaldybės biudžeto lėšų dalį (15 %) įsipareigoja pervesti mokykloms, kai mokykla panaudoja europines lėšas, bet ne vėliau kaip iki 2023 m. kovo 31 d.</t>
  </si>
  <si>
    <t>Didžiausias lėšų likutis (47 procentai) lieka labdaros-paramos ir projektinių lėšų sąskaitose (2.02.; 2.03.).</t>
  </si>
  <si>
    <t>Lėšų likutis liko apmokėjus faktiškai pateiktas paraiškas. Paraiškos teikiamos už praėjusį mėnesį.</t>
  </si>
  <si>
    <t>Didžiausias lėšų likutis (57,5 procentai) lieka labdaros-paramos ir projektinių lėšų sąskaitose (2.02.; 2.03.).</t>
  </si>
  <si>
    <t>Lėšų likutis liko apmokėjus faktiškai pateiktas paraiškas. Nuo 2022 m. rugsėjo 1 d. atidarytas VšĮ ,,Angelų lopšys“ veiklą nutraukė 2022 m. lapkričio 1 d.</t>
  </si>
  <si>
    <t>2022 m. VšĮ ,,Garso servisas“ būstinė - Šiaulių rajonas. Lėšos liko ŠMSM klaidingai skyrus valstybės lėšas iš Ukrainos atvykusiems vaikams ugdyti.</t>
  </si>
  <si>
    <t>Įstaiga nepateikė paraiškos lėšoms gauti.</t>
  </si>
  <si>
    <t>Vietoje planuotų užimti 947 mokinių, vasaros stovyklų veikloje dalyvavo 815 mokiniai. Suorganizuoti  6 konkursai, planuotas vaikų skaičius  - 947, finansuota 20 stovyklų, įgyvendinta 19. Viena iš jų, skirta ukrainiečių ir lietuvių vaikams.</t>
  </si>
  <si>
    <t>Lėšos susitaupė dėl darbuotojų ligų.</t>
  </si>
  <si>
    <t>Projektui iš Europos socialinio fondo agentūros finansavimas buvo gautas 2022 m. rugsėjo ir spalio mėnesiams. Panaudotos visos gautos lėšos. Skirtumas (lėšų likutis) yra matomas lyginant projekto lėšų planą ir faktiškai gautas lėšas.</t>
  </si>
  <si>
    <t>Dėl užsitęsusių projektavimo darbų ir viešųjų pirkimų procedūrų, įsisavintos ne visos planuotos lėšos.</t>
  </si>
  <si>
    <t>Užsitęsė projektavimo darbų viešųjų pirkimų procedūros.</t>
  </si>
  <si>
    <t>Dėl užsitęsusių projektavimo darbų rangos darbai nukelti į 2023 metus.</t>
  </si>
  <si>
    <t>2022 m. buvo pritrauktas papildomas 115 tūkst. Eur finansavimas iš valstybės biudžeto lėšų. Dėl šios priežasties mažesne apimtimi panaudotos SB lėšos. Atlikta mažiau darbų nei planuota, nes užtrukto techninio projekto sprendinių derinimas.</t>
  </si>
  <si>
    <t>Likusios lėšos susitaupė per viešuosius pirkimus. Naujam objektui tvarkyti lėšos per mažos.</t>
  </si>
  <si>
    <t>Lėšos susitaupė įvykdžius l/d "Eglutė" sienų šiltinimo viešuosius pirkimus ir rangą.</t>
  </si>
  <si>
    <t>Užsitęsė viešųjų pirkimų procedūros.</t>
  </si>
  <si>
    <t>Nedeklaruota slankioji užuolaida už 535,80 Eur. Taip pat, visi projekto biudžeto lėšų likučiai po įvykdytų pirkimų (iki papildomo finansavimo skyrimo) buvo perkelti į gimnazijos patalpų rangos darbų eilutę siekiant kompensuotis Šiaulių miesto savivaldybės patirtas išlaidas. Kadangi dar tęsiamos papildomo finansavimo skyrimo procedūros, dar nėra galimybės deklaruoti jau patirtų išlaidų.</t>
  </si>
  <si>
    <t>SB lėšos buvo naudojamos kaip apyvartinės lėšos, kadangi besibaigiant projektui nebebuvo galima pasiimti ir naudoti avanso. Su galutiniu mokėjimo prašymu deklaravus patirtas išlaidas, panaudotos SB lėšos grįžo ir buvo atstatytos. ES likutis susidarė dėl išlaidų planavimo skirtinguose išlaidų straipsniuose, apvalinant šimtais eurų .Visos lėšos pagal finansavimo sutartį gautos ir panaudotos.</t>
  </si>
  <si>
    <t>Pakartotinė stogų ekspertizės atlikimo sutartis pasirašyta 2022 m. rugsėjo mėn. paslaugos suteiktos 2022 m. gruodžio mėn. Planuota, kad lėšos bus panaudotos projektavimo ir rangos darbams, tačiau projektavimo paslaugų pirkimas persikėlė į vėlesnius laikotarpius. Pratęsus projektų įgyvendinimo terminus lėšos bus panaudotos 2023 m.</t>
  </si>
  <si>
    <t>Už liftų įrengimo projektavimo dalinius darbus įstaigos sumokėjo pagal faktiškai atliktas paslaugas.</t>
  </si>
  <si>
    <t>Objektų projektavimo ir rangos darbų pirkimai vykdyti vėliau nei planuota, rangos darbų pirkimai skelbti po kelis kartus, kadangi nebūdavo gaunama pasiūlymų. Objektų vykdymo eiga kiekvieną savaitę aptariama su administracijos direktoriumi. Rangos sutartis pasirašius 2022 m. pabaigoje nepanaudotos lėšos persikelia į 2023 m.</t>
  </si>
  <si>
    <t>V. Kudirkos progimnazija ( pagrindinio įėjimo laiptų avarinė situacija) iš skirtų 4,90 tūkst. eurų įsisavino 2,50 tūkst. eurų. Tolimesni darbai neatlikti dėl pasikeitusių oro sąlygų.</t>
  </si>
  <si>
    <t>Lėšų pakako vienos švietimo įstaigos sporto salei.</t>
  </si>
  <si>
    <t>Likusio projekto daliai lėšos nukeltos į 2023 metus.</t>
  </si>
  <si>
    <t>Dėl Covid-19 ligos pandemijos pasekmių, atsiradusio sveikatos priežiūros paslaugų poreikio Ukrainos karo pabėgėliams.</t>
  </si>
  <si>
    <t>Dėl žmogiškųjų išteklių trūkumo, vėliau nei planuota buvo inicijuotas projektavimo paslaugų viešojo pirkimo konkursas pavedus tai Dainų pirminės sveikatos priežiūros centrui. Pagal sudarytą sutartį 2022 m. mokėjimas buvo suplanuotas už techninės užduoties parengimą bei prisijungimo sąlygoms bei specialiesiems reikalavimams gauti reikalingų dokumentų užsakymą, tačiau projektavimo eigai kiek užsitęsus mokėjimas persikėlė į 2023 m. Suplanuotos lėšos techninio projekto parengimui dar metų eigoje perskirstytos kitoms ŠMS reikmėms.
Atliktas instrumentų plovimo – dezinfekavimo
mašinos viešasis pirkimas. 2022 m. skirti medicininių (chirurginių) instrumentų automatinio plovimo ir terminio dezinfekavimo mašinai įsigyti asignavimai 31 200 Eur (lėšų šaltinis 153) perkelti į 2023 m. biudžetą.</t>
  </si>
  <si>
    <t>Lėšos 50,9 tūkst. eur reikalingos šaldymo mašinai, kuri dėl atsiradusių komponentų tiekimo trikdžių turėtų būti pristatyta ir sumontuota 2023 m. I ketv. (2022-06-30 Statybos darbų rangos sutartis Nr. SŽ-1060).</t>
  </si>
  <si>
    <t>2022-12-20 įvyko iš antro karto organizuotas tarptautinis skaitmeninio rentgeno su 1 darbo vieta pirkimas Dienos chirurgijos centrui. Tikrinami pasiūlymai ir techninės specifikacijos. Mažiausia pasiūlymo kaina 129 954,00 Eur.</t>
  </si>
  <si>
    <t>Rodiklis skaičiuojamas vadovaujantis ministro patvirtinta metodika, rodiklio reikšmė mažesnė, kadangi mažėja Dainų PSPC ir Šiaulių centro poliklinikoje prisirašiusių tikslinės grupės asmenų.</t>
  </si>
  <si>
    <t>Netiksliai paskaičiuota laukiama gauti valstybės biudžeto lėšų suma. Visos lėšos pagal finansavimo sutartį gautos ir panaudotos.</t>
  </si>
  <si>
    <t>Įgyvendinta 10 sveikatinimo projektų, lėšų likutis po finansavimo skyrimo įvertinus paraiškas ir projektų vykdytojams grąžinus nepanaudotas arba netinkamai panaudotas lėšas.</t>
  </si>
  <si>
    <t>Lėšos prekėms, paslaugoms, komunalinėms išlaidoms naudojamos pagal poreikį.</t>
  </si>
  <si>
    <t>Ugdymo įstaigų I ketv. 69, II ketv. - 68 (VšĮ "Garso servisas" perregistruota į Šiaulių raj.), lėšos sutaupytos dėl darbuotojų nedarbingumo, specialistų kaitos,  III ketv. 63 (5 ugdymo įstaigų reorganizacija).</t>
  </si>
  <si>
    <t>Reikšmė viršyta, nes atšaukta ekstremali situacija Lietuvoje, stabilizavosi visuomenės sveikatos specialistų darbo krūvis, padidėjo poreikis.</t>
  </si>
  <si>
    <t>Planuojant reikšmes nebuvo žinomas finansavimo dotacijos, skirtos šioms veikloms, dydis.</t>
  </si>
  <si>
    <t>Didelis paslaugų poreikis.</t>
  </si>
  <si>
    <t>Sutaupyta dėl poreikio nebuvimo.</t>
  </si>
  <si>
    <t>Covid 19 (koronaviruso infekcijos) pandemijos apribojimai.</t>
  </si>
  <si>
    <t>Projekto veiklų įgyvendinimo laikotarpis, dėl mažo besigydančiųjų asmenų skaičiau, pratęstas iki 2023 m. rugpjūčio mėn. 2022 m. nepanaudotos lėšos kelsis į kitus metus. Lėšų panaudojimas priklauso nuo besigydančių asmenų skaičiaus.</t>
  </si>
  <si>
    <t>Paslaugos teikiamos pagal poreikį. Deklaruojamos sumos tiesiogiai priklauso nuo kabineto darbuotojams išmokamo darbo užmokesčio. Darbo užmokesčio išmokama mažiau nei planuota, projekto biudžete esant sutaupymų ir esant kiek mažesniems projekto pasiekimo rodikliams projekto veiklų įgyvendinimo terminas pratęstas iki 2023-03-31.</t>
  </si>
  <si>
    <t>Grąžintos nepanaudotos lėšos (sutaupytos prekių ir paslaugų lėšos, netinkamai panaudotos lėšos), stebėtos 3 įteisintos maudyklos.</t>
  </si>
  <si>
    <t>Atlikta tyrimų pagal numatytą grafiką maudymosi sezono metu.</t>
  </si>
  <si>
    <t>Projektą vykdo UAB "LTG Infra". Projekto veiklų įgyvendinimo terminas pratęstas iki 2023-01-31. Rangos darbai baigti, tačiau ŠMS lėšos kaip prisidėjimas išmokamas tik tada, kai patirtas išlaidas patikrina ir jų tinkamumą finansuoti patvirtina CPVA.</t>
  </si>
  <si>
    <t>Covid-19 (koronaviruso infekcijos) ligos valdymo priemonės finansuotos pagal faktinį lėšų poreikį. Liepos mėn. gauta kompensacija už Covid-19 (koronaviruso infekcijos) ligos valdymo priemonių patirtas išlaidas, lėšos atstatytos.</t>
  </si>
  <si>
    <t>SADM ministro įsakymu valstybės biudžeto lėšų poreikis pilna apimtimi buvo tenkintas tik gruodžio 6 d., o lėšos savivaldybės biudžete buvo patvirtintos tik 2022 m. gruodžio 22 d. tarybos posėdyje. Įstaigų finansavimas pagal pateiktas ataskaitas ir paraiškas buvo pradėtas nuo gruodžio 23 d. Dalis globos įstaigų nepateikė paraiškų lėšoms gauti už gruodžio mėn.</t>
  </si>
  <si>
    <t>Nepanaudotų lėšų likutis perkeltas į 2023 m. apmokėti socialinės globos įstaigoms už gruodžio mėn. suteiktas paslaugas.</t>
  </si>
  <si>
    <t>Dalis lėšų nepanaudota dėl darbuotojų trūkumo; dalis įdarbintų asmenų nedirbo dėl ligos.</t>
  </si>
  <si>
    <t>Viešųjų pirkimų konkursas dėl būsto pritaikymo darbų buvo skelbtas ir neįvyko tris kartus Tik 2022 m. lapkričio mėn. po neskelbiamų derybų su rangovu buvo pasirašyta sutartis dėl būsto pritaikymo darbų. Dalis būstų buvo pritaikyta 2022 metais, kai kurių būstų darbai buvo pradėti 2022 metais ir yra tęsiami 2023 metais.</t>
  </si>
  <si>
    <t>Nepanaudotų SB lėšų likutis 45,4 tūkst. eurų: lėšos suplanuotos akredituotai socialinei priežiūrai teikti, dalis šių paslaugų (pagalba į namus ir palydėjimo paslauga jaunuoliams) pradėtos teikti II ketv., krizių įveikimo pagalbos paslauga yra teikiama šeimoms, kai sprendimą priima Vaiko teisių ir įvaikinimo tarnyba, ir yra apmokama už faktiškai suteiktas paslaugas šeimoms.
Nepanaudotų VB (dotacijos) lėšų likutis 41,2 tūkst. eurų: lėšos skirtos socialinei priežiūrai šeimoms finansuoti. Eur: SADM ministro įsakymu lėšos naujai įsteigtoms individualios priežiūros darbuotojų pareigybėms buvo skirtos 2022 m. rugpjūčio 10 d. Kadangi tai nauja paslauga, įstaigos, teikiančios socialinės priežiūros paslaugas, darbuotojus įdarbino tik rugsėjo mėn. (užtruko atitinkamos kvalifikacijos darbuotojų paieška ir įdarbinimas), nepanaudotos lėšos buvo grąžintos į valstybės biudžetą</t>
  </si>
  <si>
    <t>Apmokėtos visos gruodžio mėn. pateiktos sąskaitos.</t>
  </si>
  <si>
    <t>Užimtumo didinimo programos modelio įgyvendinimas buvo pradėtas vykdyti nuo 2022 m. liepos mėn. Dėl klientų tinkamumo dalyvauti programoje atrankos, dėl socialinių ir motyvavimo paslaugų nedirbantiems asmenims viešųjų pirkimų procedūrų ir dėl per trumpo laikotarpio nespėta įsisavinti skirtų lėšų.</t>
  </si>
  <si>
    <t>SB lėšos yra pervedamos pagal pateiktas ataskaitas (apmokama už faktiškai vaikų dienos centrus lankiusių vaikų ir dienų skaičių).</t>
  </si>
  <si>
    <t>Įvykus viešojo pirkimo konkursui, kraiteliai nupirkti už mažesnę nei planuota kainą (nupirkta už 214,06 Eur/vnt).</t>
  </si>
  <si>
    <t>Pasibaigus projektui "Integrali pagalba į namus Šiaulių mieste" finansuojamam ES lėšomis, toliau paslaugos teiktos iš SB lėšų  nuo 2022 m. kovo mėn., Gavus finansavimą iš LR biudžeto lėšų. (2022 m. gruodžio mėn.) patirtos lėšos kompensuotos ir atstatytos.</t>
  </si>
  <si>
    <t>Projektas baigtas, veiklos tęsiamos ŠMS lėšomis.</t>
  </si>
  <si>
    <t>Projekto veiklos pratęstos iki 2023-03-31. Projekto partneris VšĮ "Socialinių inovacijų centras" nepanaudoja tiek lėšų kiek buvo planavęs (veiklos vyko mažesne apimtimi). Partneris ŠLK veiklas vykdo pilna apimtimi. Lėšos bus panaudotos 2023 m.</t>
  </si>
  <si>
    <t>Vykdant baldų ir kompiuterinės įrangos pirkimus negavus pasiūlymų pirkimai vykdomi pakartotinai.  Projekto įgyvendinimo laikotarpis pratęstas iki 2023 m. gegužės mėn. Nepanaudotos lėšos kelsis į kitus metus.</t>
  </si>
  <si>
    <t>Priėmus sprendimą atsisakyti įgyvendinti suplanuotą veiklą (po rinkos konsultacijos gavus tiekėjų pasiūlymus kelis kartus viršijusius turimą veiklos įgyvendinimui numatytą biudžetą), derinami projekto pakeitimai su Agentūra siekiant įsteigti 24/7 veikiančią atvirą jaunimo centro erdvę. Pateiktas projekto pakeitimo prašymas. Projekto įgyvendinimo laikotarpis pratęstas iki 2023 m. gegužės mėn. Nepanaudotos lėšos kelsis į kitus metus.</t>
  </si>
  <si>
    <t>Mokama už faktiškai globojamus vaikus, vaikų skaičius yra kintantis.</t>
  </si>
  <si>
    <t>Vykdant rangos darbus rangovas UAB „Gigas“ įvykdė įsipareigojimus pagal rangos darbų sutartį. Rangos darbai nebaigti, nes užtruko statybos užbaigimo procedūra.</t>
  </si>
  <si>
    <t>Techninė dokumentacija kainavo mažiau nei planuota, taip pat nebuvo prievolės ekspertizės paslaugoms.</t>
  </si>
  <si>
    <t>Užtruko Vilniaus g. 303 Šiauliuose projekto ekspertizė, bei 4 GGN namukų projektavimas. Vykdant 4 GGN įrengimo rangos darb7 konkursus buvo gautos pretenzijos, kurias pirkimo komisija turėjo nagrinėti, taip pat dėl trūkstamo finansavimo  užtruko rangos sutarčių pasirašymai, nes buvo laukiama iš LR Socialinės apsaugos ir darbo ministerijos atsakymų dėl papildomų lėšų skyrimo.</t>
  </si>
  <si>
    <t>Vykdant baldų pirkimus tiekėjams atsisakius sudaryti sutartis ar pirkimams negavus pasiūlymų pirkimai vykdyti pakartotinai. Sutartys pasirašytos IV ketvirtyje. Atlikus projekto biudžeto perskirstymą numatyta didesnė suma kompiuteriams įsigyti. Mokėjimo prašymas pateiktas 2022 m. gruodžio mėn. bus patvirtintas tik 2023 m. pradžioje.   Projekto veiklų įgyvendinimo terminas pratęstas iki 2023 m. sausio 31 d. Nepanaudotos lėšos bus panaudotos 2023 m.</t>
  </si>
  <si>
    <t>Nepanaudotos ES lėšos dėl atliktų projekto keitimų ir sumažintos projekto įgyvendinimo apimties.</t>
  </si>
  <si>
    <t>Vykdant Globos namų pastato Energetikų g. 20A, Šiauliai, išorės sienų remonto darbus 2022 metais liko nepanaudota 11,9 tūkst. Eur lėšų, nes užtruko nenumatytų darbų finansavimo derinimas. Nepanaudotų lėšų likutis perkeltas į 2023 m. rangos darbams užbaigti.</t>
  </si>
  <si>
    <t>Pareigybių patvirtintų</t>
  </si>
  <si>
    <t>Išmokos mokamos pagal  poreikį</t>
  </si>
  <si>
    <t>Paraiškos už 2022 m. birželio mėn. apmokamos 2022 m. liepos mėn.</t>
  </si>
  <si>
    <t>I ketv. Lėšos nepanaudotos, nes:
1. Atsižvelgiant į tai, kad Šiaulių apskaitos centras, darbuotojus iš Šiaulių miesto savivaldybės švietimo centro perėmė ir funkcijas vykdyti pradėjo 2022 m. vasario 1 d. ir nebuvo galima įvertinti darbuotojų kintamajai daliai reikalingos asignavimų sumos (2022 m. vasario mėn. vyko kasmetiniai darbuotojų veiklos vertinimai), sudarant išlaidų sąmatą 2.1.1.1.1.1. straipsnis buvo planuojamas su nedideliu rezervu. Nepanaudotos lėšos bus panaudotos 2022 m. II ketv. Darbuotojų darbo užmokesčiui.
2. Išlaidos komunalinėms paslaugoms panaudotos pagal faktinį poreikį.
3. Lėšos kitoms prekėms ir panaudoms liko nepanaudotos dėl viešųjų pirkimų procedūrų, sutarčių su tiekėjais pasirašymo ir sąskaitų – faktūrų už paslaugas pateikimo terminų. Šios lėšos bus panaudotos vykdant įstaigos veiklą 2022 m. II ketv.</t>
  </si>
  <si>
    <t>I ketv. naudoti lėšų iš Administracijos direktoriaus rezervo fondo poreikio nebuvo.
I-II ketv. 108 483,49 Eur nepanaudota dėl poreikio nebuvimo. 
I-III ketv. 168 483,49 Eur nepanaudota dėl poreikio nebuvimo (savivaldybės teritorijoje nebėra nepaprastosios padėties). 2022-08-29 raštu Nr. (12.4E)SSA-998 informuota apie 134 000 Eur lėšų grąžinimą į savivaldybės biudžetą. AD rezervo lėšos naudojamos tik ekstremaliųjų situacijų ir nepaprastosios padėties padarinių šalinimui (pagal faktą).
IV ketv. 34 483,49 Eur nepanaudoti dėl poreikio nebūvimo. AD rezervo lėšos naudojamos tik ekstremaliųjų situacijų ir nepaprastosios padėties padarinių šalinimui (pagal faktą).</t>
  </si>
  <si>
    <t>I-III ketv. nebuvo poreikio kreiptis į teismą.</t>
  </si>
  <si>
    <t>I ketv. - 35, II ketv. - 116 inicijuotų peržiūrėjimų pagal poreikį, III ketv. - 37.</t>
  </si>
  <si>
    <t>Iš 8 priemonių numatytų priemonių plane įgyvendintos 7.</t>
  </si>
  <si>
    <t>Inicijuotos projekto pratęsimo,  veiklų pakeitimo procedūros ir papildomo finansavimo pritraukimo procedūros, kurios užtruko iki pat 2022 m. gruodžio mėnesio. Dėl šios priežasties nebuvo galimybės inicijuoti veiklų arba jau deklaruoti patirtų išlaidų. Vėlavo Licencijų ir leidimų išdavimo sistemos diegimo darbai.</t>
  </si>
  <si>
    <t>2022 m. gegužės mėnesį buvo pasirašyta informacinės sistemos diegimo sutartis, kuri 2022 m. spalio mėnesį buvo nutraukta.</t>
  </si>
  <si>
    <t>Vykdyti projekto pirkimai dėl 18 kamerų įrengimo neįvyko. Pasikeitus situacijai rinkoje (atsiradus papildomiems reikalavimams dėl prekių iš trečiųjų šalių) ženkliai pakilo elektronikos prekių kainos, dėl to atliktas finansavimo sutarties keitimas, kuriuo suplanuota projekto lėšomis įsigyti 6 stacionarias vaizdo stebėjimo kameras (sudaryta pirkimo sutartis), 2 kilnojamas vaizdo stebėjimo kameras (vykdomos pirkimo procedūros), 6 garsiakalbius įrengtoms kameroms (sudaryta pirkimo sutartis) vaizdo duomenų apdorojimo serverį (sudaryta pirkimo sutartis).</t>
  </si>
  <si>
    <t>Sutartiniai įsipareigojimai vykdomi pagal pateiktas s.f. Be to, dalis 2021 m. gruodžio mėn. išlaidų buvo apmokėtos 2021 m. gruodį pagal išankstinę s.f. Nepanaudotas likutis bus panaudotas 2022 m. II ketv.</t>
  </si>
  <si>
    <t>III ketv.: 530,00 Eur sumą planuojama panaudoti IV ketv. (MKS vykdomas Nusikaltimų prevencijos programos projektas, apmokamos viešinimo sąskaitos).
IV ketv. 40,44 Eur gražino du atsakingi nusikaltimų prevencijos programos vykdytojai, kurie dėl ekonomijos sutaupė planuotų panaudoti lėšų.</t>
  </si>
  <si>
    <t>Dėl užtrukusių finansavimo konkurso procedūrų, vykdytų LR SADM, sutartys buvo pasirašomos tik III ketv., o didžioji dalis lėšų išmokėta IV ketv. 
Nepanaudotas lėšų likutis - dėl NVO netinkamo išlaidų, reikalingų projektui planavimo.</t>
  </si>
  <si>
    <t>Nebuvo poreikio.</t>
  </si>
  <si>
    <t>Projektų įgyvendinimo laikotarpis pareiškėjams buvo pratęstas iki 2022 m. gruodžio 31 d. Kadangi dėl projektų dalinio bendrafinansavimo į savivaldybės lėšomis pareiškėjai kreipiasi tik Agentūrai patvirtinus pateiktus mokėjimo prašymus ir pateikdami agentūros patvirtinimus apie tinkamas finansuoti pripažintas išlaidas, lėšų išmokėjimas persikelia į 2023 m., kai pareiškėjams bus patvirtinti galutiniai mokėjimo prašymai.</t>
  </si>
  <si>
    <t>Suplanuotas Medelyno gimnazijos trumpo sustojimo aikštelės įrengimas nukeliamas į 2023 m.</t>
  </si>
  <si>
    <t>Sausio mėn. paskelbtas Jaunimo iniciatyvų projektų finansavimo konkursas, kovo mėn. pabaigoje projektai įvertinti, sudaryta 1 sutartis, 6 sutartys sudarytos balandžio mėn.
Per 2 metų ketvirtį įgyvendinti 3 jaunimo iniciatyvų projektai
Per 3 metų ketvirtį įgyvendinti 2 projektai
Įgyvendinti 7 projektai: Suorganizuotas renginys Keliaujantys jaunimo metai – „Šiauliai – jaunimo miestas“, 4 seminarai apie emocinės sveikatos stiprinimą, 11 kompetencijas ugdantys renginiai, 8 žaidimų vakarai, 3 debatai temomis „Abortai – pasirinkimo laisvė ar kito teisių pažeidimas?“, „Eutanazija – savavališkas pasirinkimas ar lengva išeitis?“  „Ar kiekvienas žmogus turi teisę turėti ginklą savigynai?“, 2 konferencijos, 6 sporto renginiai, 6 filmų  vakarai, parengtos gairės apie emocinės sveikatos ir įvairių kompetencijų stiprinimo svarbą. Grąžinta 461,71 Eur (2 organizacijos), nes turėjo didesnį rėmimą, nei tikėjosi</t>
  </si>
  <si>
    <t>Galutinis dalyvių skaičius suvedamas 4 ketv.
151 jaunuoliu dalyvavo mažiau, nei planuota, dėl netinkamo veiklų laiko suplanavimo</t>
  </si>
  <si>
    <t>Siekiant parengti kokybiškus informacinius lankstinukus trečiųjų šalių piliečiams, lankstinukų gamybos darbai bus pradėti 2023 m.</t>
  </si>
  <si>
    <t>Viso 01 programos priemonių</t>
  </si>
  <si>
    <t>Viso 02 programos priemonių</t>
  </si>
  <si>
    <t>Viso 03 programos priemonių</t>
  </si>
  <si>
    <t>Viso 04 programos priemonių</t>
  </si>
  <si>
    <t>Viso 05 programos priemonių</t>
  </si>
  <si>
    <t>Viso 06 programos priemonių</t>
  </si>
  <si>
    <t>Viso 07 programos priemonių</t>
  </si>
  <si>
    <t>Viso 08 programos priemonių</t>
  </si>
  <si>
    <t>Viso 09 programos priemonių</t>
  </si>
  <si>
    <t>2022 metų veiklos ataskaitos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</si>
</sst>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rgb="FF000000"/>
      <name val="Calibri"/>
      <family val="2"/>
    </font>
    <font>
      <sz val="11"/>
      <color rgb="FF000000"/>
      <name val="Calibri"/>
      <family val="2"/>
    </font>
    <font>
      <b/>
      <sz val="12"/>
      <color rgb="FF000000"/>
      <name val="Times New Roman"/>
      <family val="1"/>
      <charset val="186"/>
    </font>
    <font>
      <sz val="12"/>
      <color rgb="FF000000"/>
      <name val="Times New Roman"/>
      <family val="1"/>
      <charset val="186"/>
    </font>
    <font>
      <sz val="12"/>
      <name val="Times New Roman"/>
      <family val="1"/>
      <charset val="186"/>
    </font>
    <font>
      <sz val="12"/>
      <color rgb="FF000000"/>
      <name val="Calibri"/>
      <family val="2"/>
      <charset val="186"/>
    </font>
    <font>
      <b/>
      <sz val="12"/>
      <name val="Times New Roman"/>
      <family val="1"/>
      <charset val="186"/>
    </font>
    <font>
      <strike/>
      <sz val="12"/>
      <color rgb="FF000000"/>
      <name val="Times New Roman"/>
      <family val="1"/>
      <charset val="186"/>
    </font>
  </fonts>
  <fills count="15">
    <fill>
      <patternFill patternType="none"/>
    </fill>
    <fill>
      <patternFill patternType="gray125"/>
    </fill>
    <fill>
      <patternFill patternType="none">
        <fgColor rgb="FF000000"/>
        <bgColor rgb="FF000000"/>
      </patternFill>
    </fill>
    <fill>
      <patternFill patternType="solid">
        <fgColor rgb="FFD8FAD4"/>
        <bgColor rgb="FFD8FAD4"/>
      </patternFill>
    </fill>
    <fill>
      <patternFill patternType="solid">
        <fgColor rgb="FFC0E4F6"/>
        <bgColor rgb="FFC0E4F6"/>
      </patternFill>
    </fill>
    <fill>
      <patternFill patternType="solid">
        <fgColor rgb="FFFAEE80"/>
        <bgColor rgb="FFFAEE80"/>
      </patternFill>
    </fill>
    <fill>
      <patternFill patternType="solid">
        <fgColor rgb="FFEBEBEB"/>
        <bgColor rgb="FFEBEBEB"/>
      </patternFill>
    </fill>
    <fill>
      <patternFill patternType="solid">
        <fgColor rgb="FFC0E4F6"/>
        <bgColor indexed="64"/>
      </patternFill>
    </fill>
    <fill>
      <patternFill patternType="solid">
        <fgColor theme="0"/>
        <bgColor indexed="64"/>
      </patternFill>
    </fill>
    <fill>
      <patternFill patternType="solid">
        <fgColor rgb="FFE2EFDA"/>
        <bgColor indexed="64"/>
      </patternFill>
    </fill>
    <fill>
      <patternFill patternType="solid">
        <fgColor rgb="FFFCE4D6"/>
        <bgColor indexed="64"/>
      </patternFill>
    </fill>
    <fill>
      <patternFill patternType="solid">
        <fgColor rgb="FFD9E1F2"/>
        <bgColor indexed="64"/>
      </patternFill>
    </fill>
    <fill>
      <patternFill patternType="solid">
        <fgColor rgb="FFFFC000"/>
        <bgColor indexed="64"/>
      </patternFill>
    </fill>
    <fill>
      <patternFill patternType="solid">
        <fgColor rgb="FFFFFFCC"/>
        <bgColor indexed="64"/>
      </patternFill>
    </fill>
    <fill>
      <patternFill patternType="solid">
        <fgColor theme="0"/>
        <bgColor rgb="FFEBEBEB"/>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3">
    <xf numFmtId="0" fontId="0" fillId="0" borderId="0" applyBorder="0"/>
    <xf numFmtId="9" fontId="1" fillId="0" borderId="0" applyFont="0" applyFill="0" applyBorder="0" applyAlignment="0" applyProtection="0"/>
    <xf numFmtId="0" fontId="1" fillId="2" borderId="0" applyBorder="0"/>
  </cellStyleXfs>
  <cellXfs count="166">
    <xf numFmtId="0" fontId="0" fillId="0" borderId="0" xfId="0"/>
    <xf numFmtId="0" fontId="2" fillId="12" borderId="19" xfId="0" applyFont="1" applyFill="1" applyBorder="1"/>
    <xf numFmtId="0" fontId="3" fillId="0" borderId="19" xfId="0" applyFont="1" applyBorder="1" applyAlignment="1">
      <alignment horizontal="left" vertical="center" wrapText="1"/>
    </xf>
    <xf numFmtId="0" fontId="3" fillId="0" borderId="0" xfId="0" applyFont="1" applyAlignment="1">
      <alignment wrapText="1"/>
    </xf>
    <xf numFmtId="3" fontId="3" fillId="0" borderId="0" xfId="0" applyNumberFormat="1" applyFont="1" applyAlignment="1">
      <alignment horizontal="center" vertical="top" wrapText="1"/>
    </xf>
    <xf numFmtId="0" fontId="3" fillId="0" borderId="0" xfId="0" applyFont="1"/>
    <xf numFmtId="0" fontId="4" fillId="0" borderId="0" xfId="0" applyFont="1" applyAlignment="1">
      <alignment horizontal="left" vertical="top"/>
    </xf>
    <xf numFmtId="0" fontId="3" fillId="2" borderId="0" xfId="2" applyFont="1" applyAlignment="1">
      <alignment horizontal="left" wrapText="1"/>
    </xf>
    <xf numFmtId="0" fontId="3" fillId="0" borderId="0" xfId="0" applyFont="1" applyAlignment="1">
      <alignment vertical="center"/>
    </xf>
    <xf numFmtId="3" fontId="2" fillId="0" borderId="3" xfId="0" applyNumberFormat="1" applyFont="1" applyBorder="1" applyAlignment="1">
      <alignment horizontal="center" vertical="top" wrapText="1" readingOrder="1"/>
    </xf>
    <xf numFmtId="0" fontId="3" fillId="5" borderId="7" xfId="0" applyFont="1" applyFill="1" applyBorder="1" applyAlignment="1" applyProtection="1">
      <alignment vertical="top" wrapText="1" readingOrder="1"/>
      <protection locked="0"/>
    </xf>
    <xf numFmtId="0" fontId="3" fillId="5" borderId="8" xfId="0" applyFont="1" applyFill="1" applyBorder="1" applyAlignment="1" applyProtection="1">
      <alignment vertical="top" wrapText="1" readingOrder="1"/>
      <protection locked="0"/>
    </xf>
    <xf numFmtId="0" fontId="3" fillId="5" borderId="8" xfId="0" applyFont="1" applyFill="1" applyBorder="1" applyAlignment="1" applyProtection="1">
      <alignment horizontal="left" vertical="top" wrapText="1" readingOrder="1"/>
      <protection locked="0"/>
    </xf>
    <xf numFmtId="164" fontId="3" fillId="5" borderId="8" xfId="0" applyNumberFormat="1" applyFont="1" applyFill="1" applyBorder="1" applyAlignment="1">
      <alignment horizontal="right" vertical="top" wrapText="1" readingOrder="1"/>
    </xf>
    <xf numFmtId="9" fontId="3" fillId="5" borderId="8" xfId="1" applyFont="1" applyFill="1" applyBorder="1" applyAlignment="1">
      <alignment horizontal="right" vertical="top" wrapText="1" readingOrder="1"/>
    </xf>
    <xf numFmtId="0" fontId="3" fillId="4" borderId="7" xfId="0" applyFont="1" applyFill="1" applyBorder="1" applyAlignment="1" applyProtection="1">
      <alignment vertical="top" wrapText="1" readingOrder="1"/>
      <protection locked="0"/>
    </xf>
    <xf numFmtId="0" fontId="3" fillId="4" borderId="8" xfId="0" applyFont="1" applyFill="1" applyBorder="1" applyAlignment="1" applyProtection="1">
      <alignment vertical="top" wrapText="1" readingOrder="1"/>
      <protection locked="0"/>
    </xf>
    <xf numFmtId="0" fontId="3" fillId="4" borderId="8" xfId="0" applyFont="1" applyFill="1" applyBorder="1" applyAlignment="1" applyProtection="1">
      <alignment horizontal="left" vertical="top" wrapText="1" readingOrder="1"/>
      <protection locked="0"/>
    </xf>
    <xf numFmtId="164" fontId="3" fillId="4" borderId="8" xfId="0" applyNumberFormat="1" applyFont="1" applyFill="1" applyBorder="1" applyAlignment="1">
      <alignment horizontal="right" vertical="top" wrapText="1" readingOrder="1"/>
    </xf>
    <xf numFmtId="9" fontId="3" fillId="4" borderId="8" xfId="1" applyFont="1" applyFill="1" applyBorder="1" applyAlignment="1">
      <alignment horizontal="right" vertical="top" wrapText="1" readingOrder="1"/>
    </xf>
    <xf numFmtId="0" fontId="3" fillId="4" borderId="8" xfId="0" applyFont="1" applyFill="1" applyBorder="1" applyAlignment="1" applyProtection="1">
      <alignment horizontal="center" vertical="top" wrapText="1" readingOrder="1"/>
      <protection locked="0"/>
    </xf>
    <xf numFmtId="3" fontId="3" fillId="4" borderId="8" xfId="0" applyNumberFormat="1" applyFont="1" applyFill="1" applyBorder="1" applyAlignment="1" applyProtection="1">
      <alignment horizontal="center" vertical="top" wrapText="1" readingOrder="1"/>
      <protection locked="0"/>
    </xf>
    <xf numFmtId="0" fontId="3" fillId="4" borderId="9" xfId="0" applyFont="1" applyFill="1" applyBorder="1" applyAlignment="1" applyProtection="1">
      <alignment horizontal="left" vertical="top" wrapText="1" readingOrder="1"/>
      <protection locked="0"/>
    </xf>
    <xf numFmtId="0" fontId="5" fillId="0" borderId="19" xfId="0" applyFont="1" applyBorder="1"/>
    <xf numFmtId="0" fontId="6" fillId="2" borderId="19" xfId="2" applyFont="1" applyBorder="1" applyAlignment="1">
      <alignment horizontal="center" vertical="center"/>
    </xf>
    <xf numFmtId="0" fontId="3" fillId="3" borderId="7" xfId="0" applyFont="1" applyFill="1" applyBorder="1" applyAlignment="1" applyProtection="1">
      <alignment vertical="top" wrapText="1" readingOrder="1"/>
      <protection locked="0"/>
    </xf>
    <xf numFmtId="0" fontId="3" fillId="3" borderId="8" xfId="0" applyFont="1" applyFill="1" applyBorder="1" applyAlignment="1" applyProtection="1">
      <alignment vertical="top" wrapText="1" readingOrder="1"/>
      <protection locked="0"/>
    </xf>
    <xf numFmtId="0" fontId="3" fillId="3" borderId="8" xfId="0" applyFont="1" applyFill="1" applyBorder="1" applyAlignment="1" applyProtection="1">
      <alignment horizontal="left" vertical="top" wrapText="1" readingOrder="1"/>
      <protection locked="0"/>
    </xf>
    <xf numFmtId="164" fontId="3" fillId="3" borderId="8" xfId="0" applyNumberFormat="1" applyFont="1" applyFill="1" applyBorder="1" applyAlignment="1">
      <alignment horizontal="right" vertical="top" wrapText="1" readingOrder="1"/>
    </xf>
    <xf numFmtId="9" fontId="3" fillId="3" borderId="8" xfId="1" applyFont="1" applyFill="1" applyBorder="1" applyAlignment="1">
      <alignment horizontal="right" vertical="top" wrapText="1" readingOrder="1"/>
    </xf>
    <xf numFmtId="0" fontId="5" fillId="9" borderId="19" xfId="0" applyFont="1" applyFill="1" applyBorder="1"/>
    <xf numFmtId="0" fontId="4" fillId="0" borderId="19" xfId="0" applyFont="1" applyBorder="1" applyAlignment="1">
      <alignment vertical="center" wrapText="1"/>
    </xf>
    <xf numFmtId="0" fontId="6" fillId="0" borderId="19" xfId="0" applyFont="1" applyBorder="1" applyAlignment="1">
      <alignment horizontal="center" vertical="center"/>
    </xf>
    <xf numFmtId="0" fontId="3" fillId="0" borderId="8" xfId="0" applyFont="1" applyBorder="1" applyAlignment="1" applyProtection="1">
      <alignment horizontal="left" vertical="top" wrapText="1" readingOrder="1"/>
      <protection locked="0"/>
    </xf>
    <xf numFmtId="164" fontId="3" fillId="0" borderId="8" xfId="0" applyNumberFormat="1" applyFont="1" applyBorder="1" applyAlignment="1">
      <alignment horizontal="right" vertical="top" wrapText="1" readingOrder="1"/>
    </xf>
    <xf numFmtId="9" fontId="3" fillId="0" borderId="8" xfId="1" applyFont="1" applyBorder="1" applyAlignment="1">
      <alignment horizontal="right" vertical="top" wrapText="1" readingOrder="1"/>
    </xf>
    <xf numFmtId="0" fontId="3" fillId="0" borderId="8" xfId="0" applyFont="1" applyBorder="1" applyAlignment="1" applyProtection="1">
      <alignment horizontal="center" vertical="top" wrapText="1" readingOrder="1"/>
      <protection locked="0"/>
    </xf>
    <xf numFmtId="3" fontId="3" fillId="0" borderId="8" xfId="0" applyNumberFormat="1" applyFont="1" applyBorder="1" applyAlignment="1" applyProtection="1">
      <alignment horizontal="center" vertical="top" wrapText="1" readingOrder="1"/>
      <protection locked="0"/>
    </xf>
    <xf numFmtId="3" fontId="3" fillId="9" borderId="8" xfId="0" applyNumberFormat="1" applyFont="1" applyFill="1" applyBorder="1" applyAlignment="1" applyProtection="1">
      <alignment horizontal="center" vertical="top" wrapText="1" readingOrder="1"/>
      <protection locked="0"/>
    </xf>
    <xf numFmtId="0" fontId="3" fillId="0" borderId="9" xfId="0" applyFont="1" applyBorder="1" applyAlignment="1" applyProtection="1">
      <alignment horizontal="left" vertical="top" wrapText="1" readingOrder="1"/>
      <protection locked="0"/>
    </xf>
    <xf numFmtId="0" fontId="5" fillId="13" borderId="19" xfId="0" applyFont="1" applyFill="1" applyBorder="1"/>
    <xf numFmtId="0" fontId="3" fillId="0" borderId="1" xfId="0" applyFont="1" applyBorder="1" applyAlignment="1" applyProtection="1">
      <alignment horizontal="left" vertical="top" wrapText="1" readingOrder="1"/>
      <protection locked="0"/>
    </xf>
    <xf numFmtId="164" fontId="3" fillId="0" borderId="1" xfId="0" applyNumberFormat="1" applyFont="1" applyBorder="1" applyAlignment="1" applyProtection="1">
      <alignment horizontal="right" vertical="top" wrapText="1" readingOrder="1"/>
      <protection locked="0"/>
    </xf>
    <xf numFmtId="0" fontId="3" fillId="0" borderId="1" xfId="0" applyFont="1" applyBorder="1" applyAlignment="1" applyProtection="1">
      <alignment horizontal="center" vertical="top" wrapText="1" readingOrder="1"/>
      <protection locked="0"/>
    </xf>
    <xf numFmtId="3" fontId="3" fillId="0" borderId="1" xfId="0" applyNumberFormat="1" applyFont="1" applyBorder="1" applyAlignment="1" applyProtection="1">
      <alignment horizontal="center" vertical="top" wrapText="1" readingOrder="1"/>
      <protection locked="0"/>
    </xf>
    <xf numFmtId="0" fontId="3" fillId="0" borderId="6" xfId="0" applyFont="1" applyBorder="1" applyAlignment="1" applyProtection="1">
      <alignment horizontal="left" vertical="top" wrapText="1" readingOrder="1"/>
      <protection locked="0"/>
    </xf>
    <xf numFmtId="0" fontId="5" fillId="12" borderId="19" xfId="0" applyFont="1" applyFill="1" applyBorder="1"/>
    <xf numFmtId="3" fontId="3" fillId="9" borderId="1" xfId="0" applyNumberFormat="1" applyFont="1" applyFill="1" applyBorder="1" applyAlignment="1" applyProtection="1">
      <alignment horizontal="center" vertical="top" wrapText="1" readingOrder="1"/>
      <protection locked="0"/>
    </xf>
    <xf numFmtId="0" fontId="2" fillId="0" borderId="19" xfId="0" applyFont="1" applyBorder="1" applyAlignment="1">
      <alignment horizontal="center" vertical="center"/>
    </xf>
    <xf numFmtId="3" fontId="3" fillId="10" borderId="1" xfId="0" applyNumberFormat="1" applyFont="1" applyFill="1" applyBorder="1" applyAlignment="1" applyProtection="1">
      <alignment horizontal="center" vertical="top" wrapText="1" readingOrder="1"/>
      <protection locked="0"/>
    </xf>
    <xf numFmtId="0" fontId="5" fillId="11" borderId="19" xfId="0" applyFont="1" applyFill="1" applyBorder="1"/>
    <xf numFmtId="0" fontId="3" fillId="0" borderId="19" xfId="0" applyFont="1" applyBorder="1" applyAlignment="1">
      <alignment horizontal="center" vertical="center"/>
    </xf>
    <xf numFmtId="0" fontId="5" fillId="10" borderId="19" xfId="0" applyFont="1" applyFill="1" applyBorder="1"/>
    <xf numFmtId="9" fontId="3" fillId="0" borderId="10" xfId="1" applyFont="1" applyBorder="1" applyAlignment="1">
      <alignment horizontal="right" vertical="top" wrapText="1" readingOrder="1"/>
    </xf>
    <xf numFmtId="3" fontId="3" fillId="10" borderId="8" xfId="0" applyNumberFormat="1" applyFont="1" applyFill="1" applyBorder="1" applyAlignment="1" applyProtection="1">
      <alignment horizontal="center" vertical="top" wrapText="1" readingOrder="1"/>
      <protection locked="0"/>
    </xf>
    <xf numFmtId="0" fontId="2" fillId="0" borderId="19" xfId="0" applyFont="1" applyBorder="1" applyAlignment="1">
      <alignment vertical="center"/>
    </xf>
    <xf numFmtId="164" fontId="3" fillId="0" borderId="20" xfId="0" applyNumberFormat="1" applyFont="1" applyBorder="1" applyAlignment="1" applyProtection="1">
      <alignment horizontal="right" vertical="top" wrapText="1" readingOrder="1"/>
      <protection locked="0"/>
    </xf>
    <xf numFmtId="9" fontId="3" fillId="0" borderId="19" xfId="1" applyFont="1" applyBorder="1" applyAlignment="1">
      <alignment horizontal="right" vertical="top" wrapText="1" readingOrder="1"/>
    </xf>
    <xf numFmtId="0" fontId="3" fillId="0" borderId="21" xfId="0" applyFont="1" applyBorder="1" applyAlignment="1" applyProtection="1">
      <alignment horizontal="left" vertical="top" wrapText="1" readingOrder="1"/>
      <protection locked="0"/>
    </xf>
    <xf numFmtId="164" fontId="3" fillId="0" borderId="22" xfId="0" applyNumberFormat="1" applyFont="1" applyBorder="1" applyAlignment="1" applyProtection="1">
      <alignment horizontal="right" vertical="top" wrapText="1" readingOrder="1"/>
      <protection locked="0"/>
    </xf>
    <xf numFmtId="3" fontId="3" fillId="11" borderId="8" xfId="0" applyNumberFormat="1" applyFont="1" applyFill="1" applyBorder="1" applyAlignment="1" applyProtection="1">
      <alignment horizontal="center" vertical="top" wrapText="1" readingOrder="1"/>
      <protection locked="0"/>
    </xf>
    <xf numFmtId="9" fontId="3" fillId="0" borderId="22" xfId="1" applyFont="1" applyBorder="1" applyAlignment="1">
      <alignment horizontal="right" vertical="top" wrapText="1" readingOrder="1"/>
    </xf>
    <xf numFmtId="3" fontId="3" fillId="12" borderId="8" xfId="0" applyNumberFormat="1" applyFont="1" applyFill="1" applyBorder="1" applyAlignment="1" applyProtection="1">
      <alignment horizontal="center" vertical="top" wrapText="1" readingOrder="1"/>
      <protection locked="0"/>
    </xf>
    <xf numFmtId="3" fontId="3" fillId="11" borderId="1" xfId="0" applyNumberFormat="1" applyFont="1" applyFill="1" applyBorder="1" applyAlignment="1" applyProtection="1">
      <alignment horizontal="center" vertical="top" wrapText="1" readingOrder="1"/>
      <protection locked="0"/>
    </xf>
    <xf numFmtId="0" fontId="3" fillId="0" borderId="7" xfId="0" applyFont="1" applyBorder="1" applyAlignment="1" applyProtection="1">
      <alignment vertical="top" wrapText="1" readingOrder="1"/>
      <protection locked="0"/>
    </xf>
    <xf numFmtId="0" fontId="3" fillId="0" borderId="8" xfId="0" applyFont="1" applyBorder="1" applyAlignment="1" applyProtection="1">
      <alignment vertical="top" wrapText="1" readingOrder="1"/>
      <protection locked="0"/>
    </xf>
    <xf numFmtId="164" fontId="3" fillId="0" borderId="8" xfId="0" applyNumberFormat="1" applyFont="1" applyBorder="1" applyAlignment="1" applyProtection="1">
      <alignment horizontal="right" vertical="top" wrapText="1" readingOrder="1"/>
      <protection locked="0"/>
    </xf>
    <xf numFmtId="0" fontId="3" fillId="7" borderId="1" xfId="0" applyFont="1" applyFill="1" applyBorder="1" applyAlignment="1" applyProtection="1">
      <alignment horizontal="left" vertical="top" wrapText="1" readingOrder="1"/>
      <protection locked="0"/>
    </xf>
    <xf numFmtId="164" fontId="3" fillId="7" borderId="1" xfId="0" applyNumberFormat="1" applyFont="1" applyFill="1" applyBorder="1" applyAlignment="1" applyProtection="1">
      <alignment horizontal="right" vertical="top" wrapText="1" readingOrder="1"/>
      <protection locked="0"/>
    </xf>
    <xf numFmtId="0" fontId="3" fillId="7" borderId="1" xfId="0" applyFont="1" applyFill="1" applyBorder="1" applyAlignment="1" applyProtection="1">
      <alignment horizontal="center" vertical="top" wrapText="1" readingOrder="1"/>
      <protection locked="0"/>
    </xf>
    <xf numFmtId="3" fontId="3" fillId="7" borderId="1" xfId="0" applyNumberFormat="1" applyFont="1" applyFill="1" applyBorder="1" applyAlignment="1" applyProtection="1">
      <alignment horizontal="center" vertical="top" wrapText="1" readingOrder="1"/>
      <protection locked="0"/>
    </xf>
    <xf numFmtId="0" fontId="3" fillId="7" borderId="6" xfId="0" applyFont="1" applyFill="1" applyBorder="1" applyAlignment="1" applyProtection="1">
      <alignment horizontal="left" vertical="top" wrapText="1" readingOrder="1"/>
      <protection locked="0"/>
    </xf>
    <xf numFmtId="3" fontId="3" fillId="12" borderId="1" xfId="0" applyNumberFormat="1" applyFont="1" applyFill="1" applyBorder="1" applyAlignment="1" applyProtection="1">
      <alignment horizontal="center" vertical="top" wrapText="1" readingOrder="1"/>
      <protection locked="0"/>
    </xf>
    <xf numFmtId="9" fontId="3" fillId="0" borderId="11" xfId="1" applyFont="1" applyBorder="1" applyAlignment="1">
      <alignment horizontal="right" vertical="top" wrapText="1" readingOrder="1"/>
    </xf>
    <xf numFmtId="3" fontId="3" fillId="13" borderId="8" xfId="0" applyNumberFormat="1" applyFont="1" applyFill="1" applyBorder="1" applyAlignment="1" applyProtection="1">
      <alignment horizontal="center" vertical="top" wrapText="1" readingOrder="1"/>
      <protection locked="0"/>
    </xf>
    <xf numFmtId="0" fontId="2" fillId="5" borderId="7" xfId="0" applyFont="1" applyFill="1" applyBorder="1" applyAlignment="1" applyProtection="1">
      <alignment vertical="top" wrapText="1" readingOrder="1"/>
      <protection locked="0"/>
    </xf>
    <xf numFmtId="0" fontId="2" fillId="5" borderId="8" xfId="0" applyFont="1" applyFill="1" applyBorder="1" applyAlignment="1" applyProtection="1">
      <alignment vertical="top" wrapText="1" readingOrder="1"/>
      <protection locked="0"/>
    </xf>
    <xf numFmtId="0" fontId="2" fillId="5" borderId="8" xfId="0" applyFont="1" applyFill="1" applyBorder="1" applyAlignment="1" applyProtection="1">
      <alignment horizontal="left" vertical="top" wrapText="1" readingOrder="1"/>
      <protection locked="0"/>
    </xf>
    <xf numFmtId="164" fontId="2" fillId="5" borderId="8" xfId="0" applyNumberFormat="1" applyFont="1" applyFill="1" applyBorder="1" applyAlignment="1">
      <alignment horizontal="right" vertical="top" wrapText="1" readingOrder="1"/>
    </xf>
    <xf numFmtId="9" fontId="2" fillId="5" borderId="8" xfId="1" applyFont="1" applyFill="1" applyBorder="1" applyAlignment="1">
      <alignment horizontal="right" vertical="top" wrapText="1" readingOrder="1"/>
    </xf>
    <xf numFmtId="0" fontId="3" fillId="8" borderId="9" xfId="0" applyFont="1" applyFill="1" applyBorder="1" applyAlignment="1" applyProtection="1">
      <alignment horizontal="left" vertical="top" wrapText="1" readingOrder="1"/>
      <protection locked="0"/>
    </xf>
    <xf numFmtId="0" fontId="3" fillId="8" borderId="6" xfId="0" applyFont="1" applyFill="1" applyBorder="1" applyAlignment="1" applyProtection="1">
      <alignment horizontal="left" vertical="top" wrapText="1" readingOrder="1"/>
      <protection locked="0"/>
    </xf>
    <xf numFmtId="3" fontId="3" fillId="13" borderId="1" xfId="0" applyNumberFormat="1" applyFont="1" applyFill="1" applyBorder="1" applyAlignment="1" applyProtection="1">
      <alignment horizontal="center" vertical="top" wrapText="1" readingOrder="1"/>
      <protection locked="0"/>
    </xf>
    <xf numFmtId="0" fontId="3" fillId="8" borderId="8" xfId="0" applyFont="1" applyFill="1" applyBorder="1" applyAlignment="1" applyProtection="1">
      <alignment horizontal="left" vertical="top" wrapText="1" readingOrder="1"/>
      <protection locked="0"/>
    </xf>
    <xf numFmtId="3" fontId="3" fillId="8" borderId="8" xfId="0" applyNumberFormat="1" applyFont="1" applyFill="1" applyBorder="1" applyAlignment="1" applyProtection="1">
      <alignment horizontal="center" vertical="top" wrapText="1" readingOrder="1"/>
      <protection locked="0"/>
    </xf>
    <xf numFmtId="0" fontId="3" fillId="0" borderId="0" xfId="0" applyFont="1" applyAlignment="1">
      <alignment vertical="top"/>
    </xf>
    <xf numFmtId="164" fontId="3" fillId="4" borderId="8" xfId="0" applyNumberFormat="1" applyFont="1" applyFill="1" applyBorder="1" applyAlignment="1" applyProtection="1">
      <alignment horizontal="center" vertical="top" wrapText="1" readingOrder="1"/>
      <protection locked="0"/>
    </xf>
    <xf numFmtId="0" fontId="7" fillId="8" borderId="1" xfId="0" applyFont="1" applyFill="1" applyBorder="1" applyAlignment="1" applyProtection="1">
      <alignment horizontal="left" vertical="top" wrapText="1" readingOrder="1"/>
      <protection locked="0"/>
    </xf>
    <xf numFmtId="0" fontId="7" fillId="8" borderId="6" xfId="0" applyFont="1" applyFill="1" applyBorder="1" applyAlignment="1" applyProtection="1">
      <alignment horizontal="left" vertical="top" wrapText="1" readingOrder="1"/>
      <protection locked="0"/>
    </xf>
    <xf numFmtId="3" fontId="4" fillId="9" borderId="8" xfId="0" applyNumberFormat="1" applyFont="1" applyFill="1" applyBorder="1" applyAlignment="1" applyProtection="1">
      <alignment horizontal="center" vertical="top" wrapText="1" readingOrder="1"/>
      <protection locked="0"/>
    </xf>
    <xf numFmtId="0" fontId="4" fillId="8" borderId="8" xfId="0" applyFont="1" applyFill="1" applyBorder="1" applyAlignment="1" applyProtection="1">
      <alignment horizontal="left" vertical="top" wrapText="1" readingOrder="1"/>
      <protection locked="0"/>
    </xf>
    <xf numFmtId="0" fontId="4" fillId="8" borderId="1" xfId="0" applyFont="1" applyFill="1" applyBorder="1" applyAlignment="1" applyProtection="1">
      <alignment horizontal="left" vertical="top" wrapText="1" readingOrder="1"/>
      <protection locked="0"/>
    </xf>
    <xf numFmtId="164" fontId="3" fillId="12" borderId="8" xfId="0" applyNumberFormat="1" applyFont="1" applyFill="1" applyBorder="1" applyAlignment="1" applyProtection="1">
      <alignment horizontal="center" vertical="top" wrapText="1" readingOrder="1"/>
      <protection locked="0"/>
    </xf>
    <xf numFmtId="0" fontId="3" fillId="8" borderId="0" xfId="0" applyFont="1" applyFill="1"/>
    <xf numFmtId="0" fontId="3" fillId="8" borderId="1" xfId="0" applyFont="1" applyFill="1" applyBorder="1" applyAlignment="1" applyProtection="1">
      <alignment horizontal="left" vertical="top" wrapText="1" readingOrder="1"/>
      <protection locked="0"/>
    </xf>
    <xf numFmtId="0" fontId="3" fillId="0" borderId="3" xfId="0" applyFont="1" applyBorder="1" applyAlignment="1" applyProtection="1">
      <alignment horizontal="left" vertical="top" wrapText="1" readingOrder="1"/>
      <protection locked="0"/>
    </xf>
    <xf numFmtId="164" fontId="3" fillId="0" borderId="3" xfId="0" applyNumberFormat="1" applyFont="1" applyBorder="1" applyAlignment="1" applyProtection="1">
      <alignment horizontal="right" vertical="top" wrapText="1" readingOrder="1"/>
      <protection locked="0"/>
    </xf>
    <xf numFmtId="0" fontId="3" fillId="0" borderId="3" xfId="0" applyFont="1" applyBorder="1" applyAlignment="1" applyProtection="1">
      <alignment horizontal="center" vertical="top" wrapText="1" readingOrder="1"/>
      <protection locked="0"/>
    </xf>
    <xf numFmtId="3" fontId="3" fillId="0" borderId="3" xfId="0" applyNumberFormat="1" applyFont="1" applyBorder="1" applyAlignment="1" applyProtection="1">
      <alignment horizontal="center" vertical="top" wrapText="1" readingOrder="1"/>
      <protection locked="0"/>
    </xf>
    <xf numFmtId="3" fontId="3" fillId="10" borderId="3" xfId="0" applyNumberFormat="1" applyFont="1" applyFill="1" applyBorder="1" applyAlignment="1" applyProtection="1">
      <alignment horizontal="center" vertical="top" wrapText="1" readingOrder="1"/>
      <protection locked="0"/>
    </xf>
    <xf numFmtId="0" fontId="3" fillId="0" borderId="4" xfId="0" applyFont="1" applyBorder="1" applyAlignment="1" applyProtection="1">
      <alignment horizontal="left" vertical="top" wrapText="1" readingOrder="1"/>
      <protection locked="0"/>
    </xf>
    <xf numFmtId="0" fontId="3" fillId="2" borderId="0" xfId="0" applyFont="1" applyFill="1"/>
    <xf numFmtId="0" fontId="3" fillId="2" borderId="0" xfId="0" applyFont="1" applyFill="1" applyAlignment="1" applyProtection="1">
      <alignment vertical="top" wrapText="1" readingOrder="1"/>
      <protection locked="0"/>
    </xf>
    <xf numFmtId="0" fontId="3" fillId="2" borderId="0" xfId="0" applyFont="1" applyFill="1" applyAlignment="1" applyProtection="1">
      <alignment horizontal="left" vertical="top" wrapText="1" readingOrder="1"/>
      <protection locked="0"/>
    </xf>
    <xf numFmtId="164" fontId="3" fillId="2" borderId="0" xfId="0" applyNumberFormat="1" applyFont="1" applyFill="1" applyAlignment="1" applyProtection="1">
      <alignment horizontal="right" vertical="top" wrapText="1" readingOrder="1"/>
      <protection locked="0"/>
    </xf>
    <xf numFmtId="0" fontId="3" fillId="2" borderId="0" xfId="0" applyFont="1" applyFill="1" applyAlignment="1" applyProtection="1">
      <alignment horizontal="center" vertical="top" wrapText="1" readingOrder="1"/>
      <protection locked="0"/>
    </xf>
    <xf numFmtId="3" fontId="3" fillId="2" borderId="0" xfId="0" applyNumberFormat="1" applyFont="1" applyFill="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164" fontId="3" fillId="0" borderId="1" xfId="0" applyNumberFormat="1" applyFont="1" applyBorder="1" applyAlignment="1">
      <alignment horizontal="right" vertical="top" wrapText="1" readingOrder="1"/>
    </xf>
    <xf numFmtId="0" fontId="2" fillId="6" borderId="1" xfId="0" applyFont="1" applyFill="1" applyBorder="1" applyAlignment="1" applyProtection="1">
      <alignment vertical="top" wrapText="1" readingOrder="1"/>
      <protection locked="0"/>
    </xf>
    <xf numFmtId="0" fontId="2" fillId="6" borderId="1" xfId="0" applyFont="1" applyFill="1" applyBorder="1" applyAlignment="1" applyProtection="1">
      <alignment horizontal="right" vertical="top" wrapText="1" readingOrder="1"/>
      <protection locked="0"/>
    </xf>
    <xf numFmtId="164" fontId="2" fillId="6" borderId="1" xfId="0" applyNumberFormat="1" applyFont="1" applyFill="1" applyBorder="1" applyAlignment="1">
      <alignment horizontal="right" vertical="top" wrapText="1" readingOrder="1"/>
    </xf>
    <xf numFmtId="164" fontId="3" fillId="0" borderId="20" xfId="0" applyNumberFormat="1" applyFont="1" applyBorder="1" applyAlignment="1">
      <alignment horizontal="right" vertical="top" wrapText="1" readingOrder="1"/>
    </xf>
    <xf numFmtId="164" fontId="2" fillId="6" borderId="20" xfId="0" applyNumberFormat="1" applyFont="1" applyFill="1" applyBorder="1" applyAlignment="1">
      <alignment horizontal="right" vertical="top" wrapText="1" readingOrder="1"/>
    </xf>
    <xf numFmtId="0" fontId="2" fillId="0" borderId="0" xfId="0" applyFont="1" applyBorder="1" applyAlignment="1">
      <alignment wrapText="1"/>
    </xf>
    <xf numFmtId="0" fontId="2" fillId="0" borderId="0" xfId="0" applyFont="1" applyBorder="1" applyAlignment="1">
      <alignment horizontal="center" wrapText="1" readingOrder="1"/>
    </xf>
    <xf numFmtId="164" fontId="3" fillId="0" borderId="0" xfId="0" applyNumberFormat="1" applyFont="1" applyBorder="1" applyAlignment="1">
      <alignment horizontal="right" vertical="top" wrapText="1" readingOrder="1"/>
    </xf>
    <xf numFmtId="164" fontId="3" fillId="0" borderId="0" xfId="0" applyNumberFormat="1" applyFont="1" applyBorder="1" applyAlignment="1" applyProtection="1">
      <alignment horizontal="right" vertical="top" wrapText="1" readingOrder="1"/>
      <protection locked="0"/>
    </xf>
    <xf numFmtId="164" fontId="2" fillId="14" borderId="0" xfId="0" applyNumberFormat="1" applyFont="1" applyFill="1" applyBorder="1" applyAlignment="1">
      <alignment horizontal="right" vertical="top" wrapText="1" readingOrder="1"/>
    </xf>
    <xf numFmtId="164" fontId="3" fillId="0" borderId="19" xfId="0" applyNumberFormat="1" applyFont="1" applyBorder="1" applyAlignment="1">
      <alignment horizontal="right" vertical="top" wrapText="1" readingOrder="1"/>
    </xf>
    <xf numFmtId="164" fontId="3" fillId="0" borderId="19" xfId="0" applyNumberFormat="1" applyFont="1" applyBorder="1" applyAlignment="1" applyProtection="1">
      <alignment horizontal="right" vertical="top" wrapText="1" readingOrder="1"/>
      <protection locked="0"/>
    </xf>
    <xf numFmtId="164" fontId="2" fillId="6" borderId="19" xfId="0" applyNumberFormat="1" applyFont="1" applyFill="1" applyBorder="1" applyAlignment="1">
      <alignment horizontal="right" vertical="top" wrapText="1" readingOrder="1"/>
    </xf>
    <xf numFmtId="0" fontId="3" fillId="8" borderId="1" xfId="0" applyFont="1" applyFill="1" applyBorder="1" applyAlignment="1" applyProtection="1">
      <alignment horizontal="center" vertical="top" wrapText="1" readingOrder="1"/>
      <protection locked="0"/>
    </xf>
    <xf numFmtId="0" fontId="2" fillId="0" borderId="23" xfId="0" applyFont="1" applyBorder="1" applyAlignment="1">
      <alignment horizontal="center" vertical="center" wrapText="1" readingOrder="1"/>
    </xf>
    <xf numFmtId="0" fontId="2" fillId="0" borderId="22" xfId="0" applyFont="1" applyBorder="1" applyAlignment="1">
      <alignment horizontal="center" vertical="center" wrapText="1" readingOrder="1"/>
    </xf>
    <xf numFmtId="0" fontId="2" fillId="0" borderId="19" xfId="0" applyFont="1" applyBorder="1" applyAlignment="1">
      <alignment horizontal="center" vertical="center" wrapText="1" readingOrder="1"/>
    </xf>
    <xf numFmtId="0" fontId="3" fillId="5" borderId="16" xfId="0" applyFont="1" applyFill="1" applyBorder="1" applyAlignment="1" applyProtection="1">
      <alignment horizontal="center" vertical="top" wrapText="1" readingOrder="1"/>
      <protection locked="0"/>
    </xf>
    <xf numFmtId="0" fontId="3" fillId="5" borderId="17" xfId="0" applyFont="1" applyFill="1" applyBorder="1" applyAlignment="1" applyProtection="1">
      <alignment horizontal="center" vertical="top" wrapText="1" readingOrder="1"/>
      <protection locked="0"/>
    </xf>
    <xf numFmtId="0" fontId="3" fillId="5" borderId="18" xfId="0" applyFont="1" applyFill="1" applyBorder="1" applyAlignment="1" applyProtection="1">
      <alignment horizontal="center" vertical="top" wrapText="1" readingOrder="1"/>
      <protection locked="0"/>
    </xf>
    <xf numFmtId="0" fontId="3" fillId="3" borderId="16" xfId="0" applyFont="1" applyFill="1" applyBorder="1" applyAlignment="1" applyProtection="1">
      <alignment horizontal="center" vertical="top" wrapText="1" readingOrder="1"/>
      <protection locked="0"/>
    </xf>
    <xf numFmtId="0" fontId="3" fillId="3" borderId="17" xfId="0" applyFont="1" applyFill="1" applyBorder="1" applyAlignment="1" applyProtection="1">
      <alignment horizontal="center" vertical="top" wrapText="1" readingOrder="1"/>
      <protection locked="0"/>
    </xf>
    <xf numFmtId="0" fontId="3" fillId="3" borderId="18" xfId="0" applyFont="1" applyFill="1" applyBorder="1" applyAlignment="1" applyProtection="1">
      <alignment horizontal="center" vertical="top" wrapText="1" readingOrder="1"/>
      <protection locked="0"/>
    </xf>
    <xf numFmtId="0" fontId="2" fillId="0" borderId="7" xfId="0" applyFont="1" applyBorder="1" applyAlignment="1">
      <alignment horizontal="center" vertical="center" wrapText="1" readingOrder="1"/>
    </xf>
    <xf numFmtId="0" fontId="2" fillId="0" borderId="5" xfId="0" applyFont="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0" fontId="2" fillId="0" borderId="6"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3" fontId="2" fillId="0" borderId="1" xfId="0" applyNumberFormat="1" applyFont="1" applyBorder="1" applyAlignment="1">
      <alignment horizontal="center" vertical="top" wrapText="1" readingOrder="1"/>
    </xf>
    <xf numFmtId="3" fontId="2" fillId="0" borderId="1" xfId="0" applyNumberFormat="1" applyFont="1" applyBorder="1" applyAlignment="1">
      <alignment horizontal="center" vertical="top"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2" fillId="0" borderId="20" xfId="0" applyFont="1" applyBorder="1" applyAlignment="1">
      <alignment horizontal="center" vertical="center" wrapText="1" readingOrder="1"/>
    </xf>
    <xf numFmtId="0" fontId="3" fillId="0" borderId="13" xfId="0" applyFont="1" applyBorder="1" applyAlignment="1" applyProtection="1">
      <alignment horizontal="left" vertical="top" wrapText="1" readingOrder="1"/>
      <protection locked="0"/>
    </xf>
    <xf numFmtId="0" fontId="3" fillId="0" borderId="14" xfId="0" applyFont="1" applyBorder="1" applyAlignment="1" applyProtection="1">
      <alignment horizontal="left" vertical="top" wrapText="1" readingOrder="1"/>
      <protection locked="0"/>
    </xf>
    <xf numFmtId="0" fontId="3" fillId="0" borderId="15" xfId="0" applyFont="1" applyBorder="1" applyAlignment="1" applyProtection="1">
      <alignment horizontal="left" vertical="top" wrapText="1" readingOrder="1"/>
      <protection locked="0"/>
    </xf>
    <xf numFmtId="0" fontId="3" fillId="0" borderId="10" xfId="0" applyFont="1" applyBorder="1" applyAlignment="1" applyProtection="1">
      <alignment horizontal="left" vertical="top" wrapText="1" readingOrder="1"/>
      <protection locked="0"/>
    </xf>
    <xf numFmtId="0" fontId="3" fillId="0" borderId="11" xfId="0" applyFont="1" applyBorder="1" applyAlignment="1" applyProtection="1">
      <alignment horizontal="left" vertical="top" wrapText="1" readingOrder="1"/>
      <protection locked="0"/>
    </xf>
    <xf numFmtId="0" fontId="3" fillId="0" borderId="12" xfId="0" applyFont="1" applyBorder="1" applyAlignment="1" applyProtection="1">
      <alignment horizontal="left" vertical="top" wrapText="1" readingOrder="1"/>
      <protection locked="0"/>
    </xf>
    <xf numFmtId="0" fontId="3" fillId="4" borderId="13" xfId="0" applyFont="1" applyFill="1" applyBorder="1" applyAlignment="1" applyProtection="1">
      <alignment horizontal="left" vertical="top" wrapText="1" readingOrder="1"/>
      <protection locked="0"/>
    </xf>
    <xf numFmtId="0" fontId="3" fillId="4" borderId="14" xfId="0" applyFont="1" applyFill="1" applyBorder="1" applyAlignment="1" applyProtection="1">
      <alignment horizontal="left" vertical="top" wrapText="1" readingOrder="1"/>
      <protection locked="0"/>
    </xf>
    <xf numFmtId="0" fontId="3" fillId="4" borderId="15" xfId="0" applyFont="1" applyFill="1" applyBorder="1" applyAlignment="1" applyProtection="1">
      <alignment horizontal="left" vertical="top" wrapText="1" readingOrder="1"/>
      <protection locked="0"/>
    </xf>
    <xf numFmtId="0" fontId="3" fillId="4" borderId="10" xfId="0" applyFont="1" applyFill="1" applyBorder="1" applyAlignment="1" applyProtection="1">
      <alignment horizontal="left" vertical="top" wrapText="1" readingOrder="1"/>
      <protection locked="0"/>
    </xf>
    <xf numFmtId="0" fontId="3" fillId="4" borderId="11" xfId="0" applyFont="1" applyFill="1" applyBorder="1" applyAlignment="1" applyProtection="1">
      <alignment horizontal="left" vertical="top" wrapText="1" readingOrder="1"/>
      <protection locked="0"/>
    </xf>
    <xf numFmtId="0" fontId="3" fillId="4" borderId="12" xfId="0" applyFont="1" applyFill="1" applyBorder="1" applyAlignment="1" applyProtection="1">
      <alignment horizontal="left" vertical="top" wrapText="1" readingOrder="1"/>
      <protection locked="0"/>
    </xf>
    <xf numFmtId="0" fontId="3" fillId="0" borderId="13" xfId="0" applyFont="1" applyBorder="1" applyAlignment="1" applyProtection="1">
      <alignment horizontal="center" vertical="top" wrapText="1" readingOrder="1"/>
      <protection locked="0"/>
    </xf>
    <xf numFmtId="0" fontId="3" fillId="0" borderId="14" xfId="0" applyFont="1" applyBorder="1" applyAlignment="1" applyProtection="1">
      <alignment horizontal="center" vertical="top" wrapText="1" readingOrder="1"/>
      <protection locked="0"/>
    </xf>
    <xf numFmtId="0" fontId="3" fillId="0" borderId="15" xfId="0" applyFont="1" applyBorder="1" applyAlignment="1" applyProtection="1">
      <alignment horizontal="center" vertical="top" wrapText="1" readingOrder="1"/>
      <protection locked="0"/>
    </xf>
  </cellXfs>
  <cellStyles count="3">
    <cellStyle name="Įprastas" xfId="0" builtinId="0"/>
    <cellStyle name="Įprastas 2" xfId="2" xr:uid="{BF1262CF-EC81-45B8-ABE3-FBD2F9628722}"/>
    <cellStyle name="Procentai" xfId="1" builtinId="5"/>
  </cellStyles>
  <dxfs count="0"/>
  <tableStyles count="0" defaultTableStyle="TableStyleMedium2" defaultPivotStyle="PivotStyleLight16"/>
  <colors>
    <mruColors>
      <color rgb="FFFFC000"/>
      <color rgb="FFFCE4D6"/>
      <color rgb="FFD9E1F2"/>
      <color rgb="FFFFFFCC"/>
      <color rgb="FFE2EFDA"/>
      <color rgb="FFFFFF99"/>
      <color rgb="FFC0E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01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D959-4548-BD73-DE9AF6FFD1B2}"/>
              </c:ext>
            </c:extLst>
          </c:dPt>
          <c:dPt>
            <c:idx val="1"/>
            <c:bubble3D val="0"/>
            <c:explosion val="12"/>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2-D959-4548-BD73-DE9AF6FFD1B2}"/>
              </c:ext>
            </c:extLst>
          </c:dPt>
          <c:dPt>
            <c:idx val="2"/>
            <c:bubble3D val="0"/>
            <c:explosion val="13"/>
            <c:spPr>
              <a:solidFill>
                <a:srgbClr val="FFC000"/>
              </a:solidFill>
              <a:ln w="25400">
                <a:solidFill>
                  <a:schemeClr val="accent6">
                    <a:lumMod val="60000"/>
                    <a:lumOff val="40000"/>
                  </a:schemeClr>
                </a:solidFill>
              </a:ln>
              <a:effectLst/>
              <a:sp3d contourW="25400">
                <a:contourClr>
                  <a:schemeClr val="accent6">
                    <a:lumMod val="60000"/>
                    <a:lumOff val="40000"/>
                  </a:schemeClr>
                </a:contourClr>
              </a:sp3d>
            </c:spPr>
            <c:extLst>
              <c:ext xmlns:c16="http://schemas.microsoft.com/office/drawing/2014/chart" uri="{C3380CC4-5D6E-409C-BE32-E72D297353CC}">
                <c16:uniqueId val="{00000003-D959-4548-BD73-DE9AF6FFD1B2}"/>
              </c:ext>
            </c:extLst>
          </c:dPt>
          <c:dPt>
            <c:idx val="3"/>
            <c:bubble3D val="0"/>
            <c:explosion val="11"/>
            <c:spPr>
              <a:solidFill>
                <a:srgbClr val="C0E4F6"/>
              </a:solidFill>
              <a:ln w="25400">
                <a:solidFill>
                  <a:schemeClr val="accent1">
                    <a:lumMod val="60000"/>
                    <a:lumOff val="40000"/>
                  </a:schemeClr>
                </a:solidFill>
              </a:ln>
              <a:effectLst/>
              <a:sp3d contourW="25400">
                <a:contourClr>
                  <a:schemeClr val="accent1">
                    <a:lumMod val="60000"/>
                    <a:lumOff val="40000"/>
                  </a:schemeClr>
                </a:contourClr>
              </a:sp3d>
            </c:spPr>
            <c:extLst>
              <c:ext xmlns:c16="http://schemas.microsoft.com/office/drawing/2014/chart" uri="{C3380CC4-5D6E-409C-BE32-E72D297353CC}">
                <c16:uniqueId val="{00000004-D959-4548-BD73-DE9AF6FFD1B2}"/>
              </c:ext>
            </c:extLst>
          </c:dPt>
          <c:dPt>
            <c:idx val="4"/>
            <c:bubble3D val="0"/>
            <c:spPr>
              <a:solidFill>
                <a:srgbClr val="FCE4D6"/>
              </a:solidFill>
              <a:ln w="25400">
                <a:solidFill>
                  <a:schemeClr val="tx1"/>
                </a:solidFill>
              </a:ln>
              <a:effectLst/>
              <a:sp3d contourW="25400">
                <a:contourClr>
                  <a:schemeClr val="tx1"/>
                </a:contourClr>
              </a:sp3d>
            </c:spPr>
            <c:extLst>
              <c:ext xmlns:c16="http://schemas.microsoft.com/office/drawing/2014/chart" uri="{C3380CC4-5D6E-409C-BE32-E72D297353CC}">
                <c16:uniqueId val="{00000005-D959-4548-BD73-DE9AF6FFD1B2}"/>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Planas!$P$11:$P$16</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Planas!$Q$11:$Q$16</c:f>
              <c:numCache>
                <c:formatCode>General</c:formatCode>
                <c:ptCount val="5"/>
                <c:pt idx="0">
                  <c:v>3</c:v>
                </c:pt>
                <c:pt idx="1">
                  <c:v>1</c:v>
                </c:pt>
                <c:pt idx="2">
                  <c:v>3</c:v>
                </c:pt>
                <c:pt idx="3">
                  <c:v>1</c:v>
                </c:pt>
              </c:numCache>
            </c:numRef>
          </c:val>
          <c:extLst>
            <c:ext xmlns:c16="http://schemas.microsoft.com/office/drawing/2014/chart" uri="{C3380CC4-5D6E-409C-BE32-E72D297353CC}">
              <c16:uniqueId val="{00000000-D959-4548-BD73-DE9AF6FFD1B2}"/>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10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6"/>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0CA3-4E23-A4DA-0C7B273BDEB7}"/>
              </c:ext>
            </c:extLst>
          </c:dPt>
          <c:dPt>
            <c:idx val="1"/>
            <c:bubble3D val="0"/>
            <c:explosion val="9"/>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0CA3-4E23-A4DA-0C7B273BDEB7}"/>
              </c:ext>
            </c:extLst>
          </c:dPt>
          <c:dPt>
            <c:idx val="2"/>
            <c:bubble3D val="0"/>
            <c:explosion val="8"/>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0CA3-4E23-A4DA-0C7B273BDEB7}"/>
              </c:ext>
            </c:extLst>
          </c:dPt>
          <c:dPt>
            <c:idx val="3"/>
            <c:bubble3D val="0"/>
            <c:explosion val="11"/>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0CA3-4E23-A4DA-0C7B273BDEB7}"/>
              </c:ext>
            </c:extLst>
          </c:dPt>
          <c:dPt>
            <c:idx val="4"/>
            <c:bubble3D val="0"/>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0CA3-4E23-A4DA-0C7B273BDEB7}"/>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Planas!$P$663:$P$667</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Planas!$Q$663:$Q$667</c:f>
              <c:numCache>
                <c:formatCode>General</c:formatCode>
                <c:ptCount val="5"/>
                <c:pt idx="0">
                  <c:v>12</c:v>
                </c:pt>
                <c:pt idx="1">
                  <c:v>1</c:v>
                </c:pt>
                <c:pt idx="2">
                  <c:v>9</c:v>
                </c:pt>
                <c:pt idx="3">
                  <c:v>4</c:v>
                </c:pt>
              </c:numCache>
            </c:numRef>
          </c:val>
          <c:extLst>
            <c:ext xmlns:c16="http://schemas.microsoft.com/office/drawing/2014/chart" uri="{C3380CC4-5D6E-409C-BE32-E72D297353CC}">
              <c16:uniqueId val="{0000000A-0CA3-4E23-A4DA-0C7B273BDEB7}"/>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11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1292432237222412E-2"/>
          <c:y val="0.10058287037037035"/>
          <c:w val="0.91860367454068237"/>
          <c:h val="0.55242329989502059"/>
        </c:manualLayout>
      </c:layout>
      <c:pie3DChart>
        <c:varyColors val="1"/>
        <c:ser>
          <c:idx val="0"/>
          <c:order val="0"/>
          <c:dPt>
            <c:idx val="0"/>
            <c:bubble3D val="0"/>
            <c:explosion val="3"/>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95EB-4E16-B389-245AA9FFAA98}"/>
              </c:ext>
            </c:extLst>
          </c:dPt>
          <c:dPt>
            <c:idx val="1"/>
            <c:bubble3D val="0"/>
            <c:explosion val="13"/>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95EB-4E16-B389-245AA9FFAA98}"/>
              </c:ext>
            </c:extLst>
          </c:dPt>
          <c:dPt>
            <c:idx val="2"/>
            <c:bubble3D val="0"/>
            <c:explosion val="14"/>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95EB-4E16-B389-245AA9FFAA98}"/>
              </c:ext>
            </c:extLst>
          </c:dPt>
          <c:dPt>
            <c:idx val="3"/>
            <c:bubble3D val="0"/>
            <c:explosion val="14"/>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95EB-4E16-B389-245AA9FFAA98}"/>
              </c:ext>
            </c:extLst>
          </c:dPt>
          <c:dPt>
            <c:idx val="4"/>
            <c:bubble3D val="0"/>
            <c:explosion val="12"/>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95EB-4E16-B389-245AA9FFAA98}"/>
              </c:ext>
            </c:extLst>
          </c:dPt>
          <c:dLbls>
            <c:dLbl>
              <c:idx val="1"/>
              <c:layout>
                <c:manualLayout>
                  <c:x val="6.138006995980639E-2"/>
                  <c:y val="-0.10506388888888889"/>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5EB-4E16-B389-245AA9FFAA98}"/>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Planas!$P$807:$P$811</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Planas!$Q$807:$Q$811</c:f>
              <c:numCache>
                <c:formatCode>General</c:formatCode>
                <c:ptCount val="5"/>
                <c:pt idx="0">
                  <c:v>27</c:v>
                </c:pt>
                <c:pt idx="1">
                  <c:v>1</c:v>
                </c:pt>
                <c:pt idx="2">
                  <c:v>5</c:v>
                </c:pt>
                <c:pt idx="3">
                  <c:v>3</c:v>
                </c:pt>
                <c:pt idx="4">
                  <c:v>5</c:v>
                </c:pt>
              </c:numCache>
            </c:numRef>
          </c:val>
          <c:extLst>
            <c:ext xmlns:c16="http://schemas.microsoft.com/office/drawing/2014/chart" uri="{C3380CC4-5D6E-409C-BE32-E72D297353CC}">
              <c16:uniqueId val="{0000000A-95EB-4E16-B389-245AA9FFAA98}"/>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lt-LT"/>
              <a:t>2022 m. 01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title>
    <c:autoTitleDeleted val="0"/>
    <c:plotArea>
      <c:layout>
        <c:manualLayout>
          <c:layoutTarget val="inner"/>
          <c:xMode val="edge"/>
          <c:yMode val="edge"/>
          <c:x val="9.2114197530864195E-2"/>
          <c:y val="0.10936134259259259"/>
          <c:w val="0.81829984567901248"/>
          <c:h val="0.44855260673190334"/>
        </c:manualLayout>
      </c:layout>
      <c:barChart>
        <c:barDir val="col"/>
        <c:grouping val="clustered"/>
        <c:varyColors val="0"/>
        <c:ser>
          <c:idx val="0"/>
          <c:order val="0"/>
          <c:tx>
            <c:strRef>
              <c:f>[1]Lapas1!$B$3</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[1]Lapas1!$C$3:$D$3</c:f>
              <c:numCache>
                <c:formatCode>General</c:formatCode>
                <c:ptCount val="2"/>
                <c:pt idx="0">
                  <c:v>2</c:v>
                </c:pt>
                <c:pt idx="1">
                  <c:v>4</c:v>
                </c:pt>
              </c:numCache>
            </c:numRef>
          </c:val>
          <c:extLst>
            <c:ext xmlns:c16="http://schemas.microsoft.com/office/drawing/2014/chart" uri="{C3380CC4-5D6E-409C-BE32-E72D297353CC}">
              <c16:uniqueId val="{00000000-8264-4DBF-BA09-97A6F69EE306}"/>
            </c:ext>
          </c:extLst>
        </c:ser>
        <c:ser>
          <c:idx val="1"/>
          <c:order val="1"/>
          <c:tx>
            <c:strRef>
              <c:f>[1]Lapas1!$B$4</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[1]Lapas1!$C$4:$D$4</c:f>
              <c:numCache>
                <c:formatCode>General</c:formatCode>
                <c:ptCount val="2"/>
                <c:pt idx="0">
                  <c:v>1</c:v>
                </c:pt>
                <c:pt idx="1">
                  <c:v>1</c:v>
                </c:pt>
              </c:numCache>
            </c:numRef>
          </c:val>
          <c:extLst>
            <c:ext xmlns:c16="http://schemas.microsoft.com/office/drawing/2014/chart" uri="{C3380CC4-5D6E-409C-BE32-E72D297353CC}">
              <c16:uniqueId val="{00000001-8264-4DBF-BA09-97A6F69EE306}"/>
            </c:ext>
          </c:extLst>
        </c:ser>
        <c:ser>
          <c:idx val="2"/>
          <c:order val="2"/>
          <c:tx>
            <c:strRef>
              <c:f>[1]Lapas1!$B$5</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5930654884856425E-17"/>
                  <c:y val="1.68494381088296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9A-4467-BC26-85F60B6514C0}"/>
                </c:ext>
              </c:extLst>
            </c:dLbl>
            <c:dLbl>
              <c:idx val="1"/>
              <c:layout>
                <c:manualLayout>
                  <c:x val="0"/>
                  <c:y val="1.68494381088296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64-4DBF-BA09-97A6F69EE30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[1]Lapas1!$C$5:$D$5</c:f>
              <c:numCache>
                <c:formatCode>General</c:formatCode>
                <c:ptCount val="2"/>
                <c:pt idx="0">
                  <c:v>4</c:v>
                </c:pt>
                <c:pt idx="1">
                  <c:v>2</c:v>
                </c:pt>
              </c:numCache>
            </c:numRef>
          </c:val>
          <c:extLst>
            <c:ext xmlns:c16="http://schemas.microsoft.com/office/drawing/2014/chart" uri="{C3380CC4-5D6E-409C-BE32-E72D297353CC}">
              <c16:uniqueId val="{00000002-8264-4DBF-BA09-97A6F69EE306}"/>
            </c:ext>
          </c:extLst>
        </c:ser>
        <c:ser>
          <c:idx val="3"/>
          <c:order val="3"/>
          <c:tx>
            <c:strRef>
              <c:f>[1]Lapas1!$B$6</c:f>
              <c:strCache>
                <c:ptCount val="1"/>
                <c:pt idx="0">
                  <c:v>Vykdant priemonę buvo pasiekta daugiau vertinimo kriterijų reikšmių nei planuota</c:v>
                </c:pt>
              </c:strCache>
            </c:strRef>
          </c:tx>
          <c:spPr>
            <a:solidFill>
              <a:srgbClr val="D9E1F2"/>
            </a:solidFill>
            <a:ln>
              <a:solidFill>
                <a:schemeClr val="accent1">
                  <a:lumMod val="40000"/>
                  <a:lumOff val="6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[1]Lapas1!$C$6:$D$6</c:f>
              <c:numCache>
                <c:formatCode>General</c:formatCode>
                <c:ptCount val="2"/>
                <c:pt idx="0">
                  <c:v>0</c:v>
                </c:pt>
                <c:pt idx="1">
                  <c:v>1</c:v>
                </c:pt>
              </c:numCache>
            </c:numRef>
          </c:val>
          <c:extLst>
            <c:ext xmlns:c16="http://schemas.microsoft.com/office/drawing/2014/chart" uri="{C3380CC4-5D6E-409C-BE32-E72D297353CC}">
              <c16:uniqueId val="{00000003-8264-4DBF-BA09-97A6F69EE306}"/>
            </c:ext>
          </c:extLst>
        </c:ser>
        <c:ser>
          <c:idx val="4"/>
          <c:order val="4"/>
          <c:tx>
            <c:strRef>
              <c:f>[1]Lapas1!$B$7</c:f>
              <c:strCache>
                <c:ptCount val="1"/>
                <c:pt idx="0">
                  <c:v>Priemonė neįvykdyta, t.y. nepasiekta planuota vertinimo kriterijų reikšmė</c:v>
                </c:pt>
              </c:strCache>
            </c:strRef>
          </c:tx>
          <c:spPr>
            <a:solidFill>
              <a:srgbClr val="FCE4D6"/>
            </a:solidFill>
            <a:ln>
              <a:solidFill>
                <a:schemeClr val="accent2">
                  <a:lumMod val="40000"/>
                  <a:lumOff val="6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0"/>
                  <c:y val="1.12329587392197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264-4DBF-BA09-97A6F69EE30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[1]Lapas1!$C$7:$D$7</c:f>
              <c:numCache>
                <c:formatCode>General</c:formatCode>
                <c:ptCount val="2"/>
                <c:pt idx="0">
                  <c:v>3</c:v>
                </c:pt>
                <c:pt idx="1">
                  <c:v>0</c:v>
                </c:pt>
              </c:numCache>
            </c:numRef>
          </c:val>
          <c:extLst>
            <c:ext xmlns:c16="http://schemas.microsoft.com/office/drawing/2014/chart" uri="{C3380CC4-5D6E-409C-BE32-E72D297353CC}">
              <c16:uniqueId val="{00000004-8264-4DBF-BA09-97A6F69EE306}"/>
            </c:ext>
          </c:extLst>
        </c:ser>
        <c:dLbls>
          <c:showLegendKey val="0"/>
          <c:showVal val="0"/>
          <c:showCatName val="0"/>
          <c:showSerName val="0"/>
          <c:showPercent val="0"/>
          <c:showBubbleSize val="0"/>
        </c:dLbls>
        <c:gapWidth val="150"/>
        <c:axId val="1495728303"/>
        <c:axId val="1495744527"/>
      </c:barChart>
      <c:lineChart>
        <c:grouping val="standard"/>
        <c:varyColors val="0"/>
        <c:ser>
          <c:idx val="5"/>
          <c:order val="5"/>
          <c:tx>
            <c:strRef>
              <c:f>[1]Lapas1!$B$8</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4.7860919208692489E-2"/>
                  <c:y val="-3.90345316187887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9A-4467-BC26-85F60B6514C0}"/>
                </c:ext>
              </c:extLst>
            </c:dLbl>
            <c:dLbl>
              <c:idx val="1"/>
              <c:layout>
                <c:manualLayout>
                  <c:x val="-2.4487033286786117E-2"/>
                  <c:y val="-4.74592506732036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264-4DBF-BA09-97A6F69EE30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[1]Lapas1!$C$2:$D$2</c:f>
              <c:numCache>
                <c:formatCode>General</c:formatCode>
                <c:ptCount val="2"/>
                <c:pt idx="0">
                  <c:v>2021</c:v>
                </c:pt>
                <c:pt idx="1">
                  <c:v>2022</c:v>
                </c:pt>
              </c:numCache>
            </c:numRef>
          </c:cat>
          <c:val>
            <c:numRef>
              <c:f>[1]Lapas1!$C$8:$D$8</c:f>
              <c:numCache>
                <c:formatCode>General</c:formatCode>
                <c:ptCount val="2"/>
                <c:pt idx="0">
                  <c:v>10</c:v>
                </c:pt>
                <c:pt idx="1">
                  <c:v>8</c:v>
                </c:pt>
              </c:numCache>
            </c:numRef>
          </c:val>
          <c:smooth val="0"/>
          <c:extLst>
            <c:ext xmlns:c16="http://schemas.microsoft.com/office/drawing/2014/chart" uri="{C3380CC4-5D6E-409C-BE32-E72D297353CC}">
              <c16:uniqueId val="{00000005-8264-4DBF-BA09-97A6F69EE306}"/>
            </c:ext>
          </c:extLst>
        </c:ser>
        <c:dLbls>
          <c:showLegendKey val="0"/>
          <c:showVal val="0"/>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lt-LT"/>
                  <a:t>Metai</a:t>
                </a:r>
              </a:p>
            </c:rich>
          </c:tx>
          <c:layout>
            <c:manualLayout>
              <c:xMode val="edge"/>
              <c:yMode val="edge"/>
              <c:x val="0.47032746913580248"/>
              <c:y val="0.5987047602537233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lt-LT"/>
                  <a:t>Progamų priemonių skaičius</a:t>
                </a:r>
              </a:p>
            </c:rich>
          </c:tx>
          <c:layout>
            <c:manualLayout>
              <c:xMode val="edge"/>
              <c:yMode val="edge"/>
              <c:x val="8.231481481481482E-3"/>
              <c:y val="0.1353012091351373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2.7964961592514877E-2"/>
          <c:y val="0.65988691010939082"/>
          <c:w val="0.94406992279999224"/>
          <c:h val="0.32132114358188446"/>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baseline="0">
          <a:solidFill>
            <a:sysClr val="windowText" lastClr="000000"/>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03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[1]Lapas1!$B$25</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[1]Lapas1!$C$25:$D$25</c:f>
              <c:numCache>
                <c:formatCode>General</c:formatCode>
                <c:ptCount val="2"/>
                <c:pt idx="0">
                  <c:v>8</c:v>
                </c:pt>
                <c:pt idx="1">
                  <c:v>4</c:v>
                </c:pt>
              </c:numCache>
            </c:numRef>
          </c:val>
          <c:extLst>
            <c:ext xmlns:c16="http://schemas.microsoft.com/office/drawing/2014/chart" uri="{C3380CC4-5D6E-409C-BE32-E72D297353CC}">
              <c16:uniqueId val="{00000000-91A6-4AC4-B221-BDA87B207C33}"/>
            </c:ext>
          </c:extLst>
        </c:ser>
        <c:ser>
          <c:idx val="1"/>
          <c:order val="1"/>
          <c:tx>
            <c:strRef>
              <c:f>[1]Lapas1!$B$26</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[1]Lapas1!$C$26:$D$26</c:f>
              <c:numCache>
                <c:formatCode>General</c:formatCode>
                <c:ptCount val="2"/>
                <c:pt idx="0">
                  <c:v>1</c:v>
                </c:pt>
                <c:pt idx="1">
                  <c:v>0</c:v>
                </c:pt>
              </c:numCache>
            </c:numRef>
          </c:val>
          <c:extLst>
            <c:ext xmlns:c16="http://schemas.microsoft.com/office/drawing/2014/chart" uri="{C3380CC4-5D6E-409C-BE32-E72D297353CC}">
              <c16:uniqueId val="{00000001-91A6-4AC4-B221-BDA87B207C33}"/>
            </c:ext>
          </c:extLst>
        </c:ser>
        <c:ser>
          <c:idx val="2"/>
          <c:order val="2"/>
          <c:tx>
            <c:strRef>
              <c:f>[1]Lapas1!$B$27</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[1]Lapas1!$C$27:$D$27</c:f>
              <c:numCache>
                <c:formatCode>General</c:formatCode>
                <c:ptCount val="2"/>
                <c:pt idx="0">
                  <c:v>5</c:v>
                </c:pt>
                <c:pt idx="1">
                  <c:v>5</c:v>
                </c:pt>
              </c:numCache>
            </c:numRef>
          </c:val>
          <c:extLst>
            <c:ext xmlns:c16="http://schemas.microsoft.com/office/drawing/2014/chart" uri="{C3380CC4-5D6E-409C-BE32-E72D297353CC}">
              <c16:uniqueId val="{00000002-91A6-4AC4-B221-BDA87B207C33}"/>
            </c:ext>
          </c:extLst>
        </c:ser>
        <c:ser>
          <c:idx val="3"/>
          <c:order val="3"/>
          <c:tx>
            <c:strRef>
              <c:f>[1]Lapas1!$B$28</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[1]Lapas1!$C$28:$D$28</c:f>
              <c:numCache>
                <c:formatCode>General</c:formatCode>
                <c:ptCount val="2"/>
                <c:pt idx="0">
                  <c:v>5</c:v>
                </c:pt>
                <c:pt idx="1">
                  <c:v>4</c:v>
                </c:pt>
              </c:numCache>
            </c:numRef>
          </c:val>
          <c:extLst>
            <c:ext xmlns:c16="http://schemas.microsoft.com/office/drawing/2014/chart" uri="{C3380CC4-5D6E-409C-BE32-E72D297353CC}">
              <c16:uniqueId val="{00000003-91A6-4AC4-B221-BDA87B207C33}"/>
            </c:ext>
          </c:extLst>
        </c:ser>
        <c:ser>
          <c:idx val="4"/>
          <c:order val="4"/>
          <c:tx>
            <c:strRef>
              <c:f>[1]Lapas1!$B$29</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[1]Lapas1!$C$29:$D$29</c:f>
              <c:numCache>
                <c:formatCode>General</c:formatCode>
                <c:ptCount val="2"/>
                <c:pt idx="0">
                  <c:v>4</c:v>
                </c:pt>
                <c:pt idx="1">
                  <c:v>5</c:v>
                </c:pt>
              </c:numCache>
            </c:numRef>
          </c:val>
          <c:extLst>
            <c:ext xmlns:c16="http://schemas.microsoft.com/office/drawing/2014/chart" uri="{C3380CC4-5D6E-409C-BE32-E72D297353CC}">
              <c16:uniqueId val="{00000004-91A6-4AC4-B221-BDA87B207C33}"/>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[1]Lapas1!$B$30</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A6-4AC4-B221-BDA87B207C33}"/>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A6-4AC4-B221-BDA87B207C33}"/>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[1]Lapas1!$C$24:$D$24</c:f>
              <c:numCache>
                <c:formatCode>General</c:formatCode>
                <c:ptCount val="2"/>
                <c:pt idx="0">
                  <c:v>2021</c:v>
                </c:pt>
                <c:pt idx="1">
                  <c:v>2022</c:v>
                </c:pt>
              </c:numCache>
            </c:numRef>
          </c:cat>
          <c:val>
            <c:numRef>
              <c:f>[1]Lapas1!$C$30:$D$30</c:f>
              <c:numCache>
                <c:formatCode>General</c:formatCode>
                <c:ptCount val="2"/>
                <c:pt idx="0">
                  <c:v>23</c:v>
                </c:pt>
                <c:pt idx="1">
                  <c:v>18</c:v>
                </c:pt>
              </c:numCache>
            </c:numRef>
          </c:val>
          <c:smooth val="0"/>
          <c:extLst>
            <c:ext xmlns:c16="http://schemas.microsoft.com/office/drawing/2014/chart" uri="{C3380CC4-5D6E-409C-BE32-E72D297353CC}">
              <c16:uniqueId val="{00000007-91A6-4AC4-B221-BDA87B207C33}"/>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4140895061728405E-2"/>
          <c:y val="0.69012919185985611"/>
          <c:w val="0.93759783950617281"/>
          <c:h val="0.29228960350922689"/>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04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[1]Lapas1!$B$36</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[1]Lapas1!$C$36:$D$36</c:f>
              <c:numCache>
                <c:formatCode>General</c:formatCode>
                <c:ptCount val="2"/>
                <c:pt idx="0">
                  <c:v>11</c:v>
                </c:pt>
                <c:pt idx="1">
                  <c:v>6</c:v>
                </c:pt>
              </c:numCache>
            </c:numRef>
          </c:val>
          <c:extLst>
            <c:ext xmlns:c16="http://schemas.microsoft.com/office/drawing/2014/chart" uri="{C3380CC4-5D6E-409C-BE32-E72D297353CC}">
              <c16:uniqueId val="{00000000-592A-4AC3-9635-C3F3C278EF16}"/>
            </c:ext>
          </c:extLst>
        </c:ser>
        <c:ser>
          <c:idx val="1"/>
          <c:order val="1"/>
          <c:tx>
            <c:strRef>
              <c:f>[1]Lapas1!$B$37</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[1]Lapas1!$C$37:$D$37</c:f>
              <c:numCache>
                <c:formatCode>General</c:formatCode>
                <c:ptCount val="2"/>
                <c:pt idx="0">
                  <c:v>1</c:v>
                </c:pt>
                <c:pt idx="1">
                  <c:v>1</c:v>
                </c:pt>
              </c:numCache>
            </c:numRef>
          </c:val>
          <c:extLst>
            <c:ext xmlns:c16="http://schemas.microsoft.com/office/drawing/2014/chart" uri="{C3380CC4-5D6E-409C-BE32-E72D297353CC}">
              <c16:uniqueId val="{00000001-592A-4AC3-9635-C3F3C278EF16}"/>
            </c:ext>
          </c:extLst>
        </c:ser>
        <c:ser>
          <c:idx val="2"/>
          <c:order val="2"/>
          <c:tx>
            <c:strRef>
              <c:f>[1]Lapas1!$B$38</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2A-4AC3-9635-C3F3C278EF1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[1]Lapas1!$C$38:$D$38</c:f>
              <c:numCache>
                <c:formatCode>General</c:formatCode>
                <c:ptCount val="2"/>
                <c:pt idx="0">
                  <c:v>8</c:v>
                </c:pt>
                <c:pt idx="1">
                  <c:v>7</c:v>
                </c:pt>
              </c:numCache>
            </c:numRef>
          </c:val>
          <c:extLst>
            <c:ext xmlns:c16="http://schemas.microsoft.com/office/drawing/2014/chart" uri="{C3380CC4-5D6E-409C-BE32-E72D297353CC}">
              <c16:uniqueId val="{00000002-592A-4AC3-9635-C3F3C278EF16}"/>
            </c:ext>
          </c:extLst>
        </c:ser>
        <c:ser>
          <c:idx val="3"/>
          <c:order val="3"/>
          <c:tx>
            <c:strRef>
              <c:f>[1]Lapas1!$B$39</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[1]Lapas1!$C$39:$D$39</c:f>
              <c:numCache>
                <c:formatCode>General</c:formatCode>
                <c:ptCount val="2"/>
                <c:pt idx="0">
                  <c:v>5</c:v>
                </c:pt>
                <c:pt idx="1">
                  <c:v>3</c:v>
                </c:pt>
              </c:numCache>
            </c:numRef>
          </c:val>
          <c:extLst>
            <c:ext xmlns:c16="http://schemas.microsoft.com/office/drawing/2014/chart" uri="{C3380CC4-5D6E-409C-BE32-E72D297353CC}">
              <c16:uniqueId val="{00000003-592A-4AC3-9635-C3F3C278EF16}"/>
            </c:ext>
          </c:extLst>
        </c:ser>
        <c:ser>
          <c:idx val="4"/>
          <c:order val="4"/>
          <c:tx>
            <c:strRef>
              <c:f>[1]Lapas1!$B$40</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[1]Lapas1!$C$40:$D$40</c:f>
              <c:numCache>
                <c:formatCode>General</c:formatCode>
                <c:ptCount val="2"/>
                <c:pt idx="0">
                  <c:v>1</c:v>
                </c:pt>
                <c:pt idx="1">
                  <c:v>4</c:v>
                </c:pt>
              </c:numCache>
            </c:numRef>
          </c:val>
          <c:extLst>
            <c:ext xmlns:c16="http://schemas.microsoft.com/office/drawing/2014/chart" uri="{C3380CC4-5D6E-409C-BE32-E72D297353CC}">
              <c16:uniqueId val="{00000004-592A-4AC3-9635-C3F3C278EF16}"/>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[1]Lapas1!$B$41</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2A-4AC3-9635-C3F3C278EF16}"/>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2A-4AC3-9635-C3F3C278EF1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[1]Lapas1!$C$35:$D$35</c:f>
              <c:numCache>
                <c:formatCode>General</c:formatCode>
                <c:ptCount val="2"/>
                <c:pt idx="0">
                  <c:v>2021</c:v>
                </c:pt>
                <c:pt idx="1">
                  <c:v>2022</c:v>
                </c:pt>
              </c:numCache>
            </c:numRef>
          </c:cat>
          <c:val>
            <c:numRef>
              <c:f>[1]Lapas1!$C$41:$D$41</c:f>
              <c:numCache>
                <c:formatCode>General</c:formatCode>
                <c:ptCount val="2"/>
                <c:pt idx="0">
                  <c:v>26</c:v>
                </c:pt>
                <c:pt idx="1">
                  <c:v>21</c:v>
                </c:pt>
              </c:numCache>
            </c:numRef>
          </c:val>
          <c:smooth val="0"/>
          <c:extLst>
            <c:ext xmlns:c16="http://schemas.microsoft.com/office/drawing/2014/chart" uri="{C3380CC4-5D6E-409C-BE32-E72D297353CC}">
              <c16:uniqueId val="{00000007-592A-4AC3-9635-C3F3C278EF16}"/>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2181018518518525E-2"/>
          <c:y val="0.70362113721420194"/>
          <c:w val="0.9415175925925926"/>
          <c:h val="0.2795631534707116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05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[1]Lapas1!$B$47</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[1]Lapas1!$C$47:$D$47</c:f>
              <c:numCache>
                <c:formatCode>General</c:formatCode>
                <c:ptCount val="2"/>
                <c:pt idx="0">
                  <c:v>5</c:v>
                </c:pt>
                <c:pt idx="1">
                  <c:v>6</c:v>
                </c:pt>
              </c:numCache>
            </c:numRef>
          </c:val>
          <c:extLst>
            <c:ext xmlns:c16="http://schemas.microsoft.com/office/drawing/2014/chart" uri="{C3380CC4-5D6E-409C-BE32-E72D297353CC}">
              <c16:uniqueId val="{00000000-30FA-4C6C-822D-1093623ED376}"/>
            </c:ext>
          </c:extLst>
        </c:ser>
        <c:ser>
          <c:idx val="1"/>
          <c:order val="1"/>
          <c:tx>
            <c:strRef>
              <c:f>[1]Lapas1!$B$48</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[1]Lapas1!$C$48:$D$48</c:f>
              <c:numCache>
                <c:formatCode>General</c:formatCode>
                <c:ptCount val="2"/>
                <c:pt idx="0">
                  <c:v>1</c:v>
                </c:pt>
                <c:pt idx="1">
                  <c:v>0</c:v>
                </c:pt>
              </c:numCache>
            </c:numRef>
          </c:val>
          <c:extLst>
            <c:ext xmlns:c16="http://schemas.microsoft.com/office/drawing/2014/chart" uri="{C3380CC4-5D6E-409C-BE32-E72D297353CC}">
              <c16:uniqueId val="{00000001-30FA-4C6C-822D-1093623ED376}"/>
            </c:ext>
          </c:extLst>
        </c:ser>
        <c:ser>
          <c:idx val="2"/>
          <c:order val="2"/>
          <c:tx>
            <c:strRef>
              <c:f>[1]Lapas1!$B$49</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FA-4C6C-822D-1093623ED37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[1]Lapas1!$C$49:$D$49</c:f>
              <c:numCache>
                <c:formatCode>General</c:formatCode>
                <c:ptCount val="2"/>
                <c:pt idx="0">
                  <c:v>2</c:v>
                </c:pt>
                <c:pt idx="1">
                  <c:v>1</c:v>
                </c:pt>
              </c:numCache>
            </c:numRef>
          </c:val>
          <c:extLst>
            <c:ext xmlns:c16="http://schemas.microsoft.com/office/drawing/2014/chart" uri="{C3380CC4-5D6E-409C-BE32-E72D297353CC}">
              <c16:uniqueId val="{00000003-30FA-4C6C-822D-1093623ED376}"/>
            </c:ext>
          </c:extLst>
        </c:ser>
        <c:ser>
          <c:idx val="3"/>
          <c:order val="3"/>
          <c:tx>
            <c:strRef>
              <c:f>[1]Lapas1!$B$50</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[1]Lapas1!$C$50:$D$50</c:f>
              <c:numCache>
                <c:formatCode>General</c:formatCode>
                <c:ptCount val="2"/>
                <c:pt idx="0">
                  <c:v>1</c:v>
                </c:pt>
                <c:pt idx="1">
                  <c:v>1</c:v>
                </c:pt>
              </c:numCache>
            </c:numRef>
          </c:val>
          <c:extLst>
            <c:ext xmlns:c16="http://schemas.microsoft.com/office/drawing/2014/chart" uri="{C3380CC4-5D6E-409C-BE32-E72D297353CC}">
              <c16:uniqueId val="{00000004-30FA-4C6C-822D-1093623ED376}"/>
            </c:ext>
          </c:extLst>
        </c:ser>
        <c:ser>
          <c:idx val="4"/>
          <c:order val="4"/>
          <c:tx>
            <c:strRef>
              <c:f>[1]Lapas1!$B$51</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[1]Lapas1!$C$51:$D$51</c:f>
              <c:numCache>
                <c:formatCode>General</c:formatCode>
                <c:ptCount val="2"/>
                <c:pt idx="0">
                  <c:v>0</c:v>
                </c:pt>
                <c:pt idx="1">
                  <c:v>1</c:v>
                </c:pt>
              </c:numCache>
            </c:numRef>
          </c:val>
          <c:extLst>
            <c:ext xmlns:c16="http://schemas.microsoft.com/office/drawing/2014/chart" uri="{C3380CC4-5D6E-409C-BE32-E72D297353CC}">
              <c16:uniqueId val="{00000005-30FA-4C6C-822D-1093623ED376}"/>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[1]Lapas1!$B$52</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0FA-4C6C-822D-1093623ED376}"/>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FA-4C6C-822D-1093623ED376}"/>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[1]Lapas1!$C$46:$D$46</c:f>
              <c:numCache>
                <c:formatCode>General</c:formatCode>
                <c:ptCount val="2"/>
                <c:pt idx="0">
                  <c:v>2021</c:v>
                </c:pt>
                <c:pt idx="1">
                  <c:v>2022</c:v>
                </c:pt>
              </c:numCache>
            </c:numRef>
          </c:cat>
          <c:val>
            <c:numRef>
              <c:f>[1]Lapas1!$C$52:$D$52</c:f>
              <c:numCache>
                <c:formatCode>General</c:formatCode>
                <c:ptCount val="2"/>
                <c:pt idx="0">
                  <c:v>9</c:v>
                </c:pt>
                <c:pt idx="1">
                  <c:v>9</c:v>
                </c:pt>
              </c:numCache>
            </c:numRef>
          </c:val>
          <c:smooth val="0"/>
          <c:extLst>
            <c:ext xmlns:c16="http://schemas.microsoft.com/office/drawing/2014/chart" uri="{C3380CC4-5D6E-409C-BE32-E72D297353CC}">
              <c16:uniqueId val="{00000008-30FA-4C6C-822D-1093623ED376}"/>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8060648148148156E-2"/>
          <c:y val="0.70284031445469375"/>
          <c:w val="0.9415175925925926"/>
          <c:h val="0.28029967452655896"/>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06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[1]Lapas1!$B$58</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[1]Lapas1!$C$58:$D$58</c:f>
              <c:numCache>
                <c:formatCode>General</c:formatCode>
                <c:ptCount val="2"/>
                <c:pt idx="0">
                  <c:v>5</c:v>
                </c:pt>
                <c:pt idx="1">
                  <c:v>10</c:v>
                </c:pt>
              </c:numCache>
            </c:numRef>
          </c:val>
          <c:extLst>
            <c:ext xmlns:c16="http://schemas.microsoft.com/office/drawing/2014/chart" uri="{C3380CC4-5D6E-409C-BE32-E72D297353CC}">
              <c16:uniqueId val="{00000000-76D8-46EE-856B-19CC9C3311A1}"/>
            </c:ext>
          </c:extLst>
        </c:ser>
        <c:ser>
          <c:idx val="1"/>
          <c:order val="1"/>
          <c:tx>
            <c:strRef>
              <c:f>[1]Lapas1!$B$59</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[1]Lapas1!$C$59:$D$59</c:f>
              <c:numCache>
                <c:formatCode>General</c:formatCode>
                <c:ptCount val="2"/>
                <c:pt idx="0">
                  <c:v>0</c:v>
                </c:pt>
                <c:pt idx="1">
                  <c:v>0</c:v>
                </c:pt>
              </c:numCache>
            </c:numRef>
          </c:val>
          <c:extLst>
            <c:ext xmlns:c16="http://schemas.microsoft.com/office/drawing/2014/chart" uri="{C3380CC4-5D6E-409C-BE32-E72D297353CC}">
              <c16:uniqueId val="{00000001-76D8-46EE-856B-19CC9C3311A1}"/>
            </c:ext>
          </c:extLst>
        </c:ser>
        <c:ser>
          <c:idx val="2"/>
          <c:order val="2"/>
          <c:tx>
            <c:strRef>
              <c:f>[1]Lapas1!$B$60</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D8-46EE-856B-19CC9C3311A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[1]Lapas1!$C$60:$D$60</c:f>
              <c:numCache>
                <c:formatCode>General</c:formatCode>
                <c:ptCount val="2"/>
                <c:pt idx="0">
                  <c:v>0</c:v>
                </c:pt>
                <c:pt idx="1">
                  <c:v>2</c:v>
                </c:pt>
              </c:numCache>
            </c:numRef>
          </c:val>
          <c:extLst>
            <c:ext xmlns:c16="http://schemas.microsoft.com/office/drawing/2014/chart" uri="{C3380CC4-5D6E-409C-BE32-E72D297353CC}">
              <c16:uniqueId val="{00000003-76D8-46EE-856B-19CC9C3311A1}"/>
            </c:ext>
          </c:extLst>
        </c:ser>
        <c:ser>
          <c:idx val="3"/>
          <c:order val="3"/>
          <c:tx>
            <c:strRef>
              <c:f>[1]Lapas1!$B$61</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[1]Lapas1!$C$61:$D$61</c:f>
              <c:numCache>
                <c:formatCode>General</c:formatCode>
                <c:ptCount val="2"/>
                <c:pt idx="0">
                  <c:v>1</c:v>
                </c:pt>
                <c:pt idx="1">
                  <c:v>1</c:v>
                </c:pt>
              </c:numCache>
            </c:numRef>
          </c:val>
          <c:extLst>
            <c:ext xmlns:c16="http://schemas.microsoft.com/office/drawing/2014/chart" uri="{C3380CC4-5D6E-409C-BE32-E72D297353CC}">
              <c16:uniqueId val="{00000004-76D8-46EE-856B-19CC9C3311A1}"/>
            </c:ext>
          </c:extLst>
        </c:ser>
        <c:ser>
          <c:idx val="4"/>
          <c:order val="4"/>
          <c:tx>
            <c:strRef>
              <c:f>[1]Lapas1!$B$62</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[1]Lapas1!$C$62:$D$62</c:f>
              <c:numCache>
                <c:formatCode>General</c:formatCode>
                <c:ptCount val="2"/>
                <c:pt idx="0">
                  <c:v>1</c:v>
                </c:pt>
                <c:pt idx="1">
                  <c:v>1</c:v>
                </c:pt>
              </c:numCache>
            </c:numRef>
          </c:val>
          <c:extLst>
            <c:ext xmlns:c16="http://schemas.microsoft.com/office/drawing/2014/chart" uri="{C3380CC4-5D6E-409C-BE32-E72D297353CC}">
              <c16:uniqueId val="{00000005-76D8-46EE-856B-19CC9C3311A1}"/>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[1]Lapas1!$B$63</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D8-46EE-856B-19CC9C3311A1}"/>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D8-46EE-856B-19CC9C3311A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[1]Lapas1!$C$57:$D$57</c:f>
              <c:numCache>
                <c:formatCode>General</c:formatCode>
                <c:ptCount val="2"/>
                <c:pt idx="0">
                  <c:v>2021</c:v>
                </c:pt>
                <c:pt idx="1">
                  <c:v>2022</c:v>
                </c:pt>
              </c:numCache>
            </c:numRef>
          </c:cat>
          <c:val>
            <c:numRef>
              <c:f>[1]Lapas1!$C$63:$D$63</c:f>
              <c:numCache>
                <c:formatCode>General</c:formatCode>
                <c:ptCount val="2"/>
                <c:pt idx="0">
                  <c:v>7</c:v>
                </c:pt>
                <c:pt idx="1">
                  <c:v>14</c:v>
                </c:pt>
              </c:numCache>
            </c:numRef>
          </c:val>
          <c:smooth val="0"/>
          <c:extLst>
            <c:ext xmlns:c16="http://schemas.microsoft.com/office/drawing/2014/chart" uri="{C3380CC4-5D6E-409C-BE32-E72D297353CC}">
              <c16:uniqueId val="{00000008-76D8-46EE-856B-19CC9C3311A1}"/>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6100771604938284E-2"/>
          <c:y val="0.70336131929529444"/>
          <c:w val="0.93563796296296298"/>
          <c:h val="0.27980823004619759"/>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07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[1]Lapas1!$B$69</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[1]Lapas1!$C$69:$D$69</c:f>
              <c:numCache>
                <c:formatCode>General</c:formatCode>
                <c:ptCount val="2"/>
                <c:pt idx="0">
                  <c:v>3</c:v>
                </c:pt>
                <c:pt idx="1">
                  <c:v>5</c:v>
                </c:pt>
              </c:numCache>
            </c:numRef>
          </c:val>
          <c:extLst>
            <c:ext xmlns:c16="http://schemas.microsoft.com/office/drawing/2014/chart" uri="{C3380CC4-5D6E-409C-BE32-E72D297353CC}">
              <c16:uniqueId val="{00000000-7117-4A54-AEAF-7A3928CA0B53}"/>
            </c:ext>
          </c:extLst>
        </c:ser>
        <c:ser>
          <c:idx val="1"/>
          <c:order val="1"/>
          <c:tx>
            <c:strRef>
              <c:f>[1]Lapas1!$B$70</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[1]Lapas1!$C$70:$D$70</c:f>
              <c:numCache>
                <c:formatCode>General</c:formatCode>
                <c:ptCount val="2"/>
                <c:pt idx="0">
                  <c:v>0</c:v>
                </c:pt>
                <c:pt idx="1">
                  <c:v>0</c:v>
                </c:pt>
              </c:numCache>
            </c:numRef>
          </c:val>
          <c:extLst>
            <c:ext xmlns:c16="http://schemas.microsoft.com/office/drawing/2014/chart" uri="{C3380CC4-5D6E-409C-BE32-E72D297353CC}">
              <c16:uniqueId val="{00000001-7117-4A54-AEAF-7A3928CA0B53}"/>
            </c:ext>
          </c:extLst>
        </c:ser>
        <c:ser>
          <c:idx val="2"/>
          <c:order val="2"/>
          <c:tx>
            <c:strRef>
              <c:f>[1]Lapas1!$B$71</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17-4A54-AEAF-7A3928CA0B53}"/>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[1]Lapas1!$C$71:$D$71</c:f>
              <c:numCache>
                <c:formatCode>General</c:formatCode>
                <c:ptCount val="2"/>
                <c:pt idx="0">
                  <c:v>7</c:v>
                </c:pt>
                <c:pt idx="1">
                  <c:v>2</c:v>
                </c:pt>
              </c:numCache>
            </c:numRef>
          </c:val>
          <c:extLst>
            <c:ext xmlns:c16="http://schemas.microsoft.com/office/drawing/2014/chart" uri="{C3380CC4-5D6E-409C-BE32-E72D297353CC}">
              <c16:uniqueId val="{00000003-7117-4A54-AEAF-7A3928CA0B53}"/>
            </c:ext>
          </c:extLst>
        </c:ser>
        <c:ser>
          <c:idx val="3"/>
          <c:order val="3"/>
          <c:tx>
            <c:strRef>
              <c:f>[1]Lapas1!$B$72</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[1]Lapas1!$C$72:$D$72</c:f>
              <c:numCache>
                <c:formatCode>General</c:formatCode>
                <c:ptCount val="2"/>
                <c:pt idx="0">
                  <c:v>2</c:v>
                </c:pt>
                <c:pt idx="1">
                  <c:v>5</c:v>
                </c:pt>
              </c:numCache>
            </c:numRef>
          </c:val>
          <c:extLst>
            <c:ext xmlns:c16="http://schemas.microsoft.com/office/drawing/2014/chart" uri="{C3380CC4-5D6E-409C-BE32-E72D297353CC}">
              <c16:uniqueId val="{00000004-7117-4A54-AEAF-7A3928CA0B53}"/>
            </c:ext>
          </c:extLst>
        </c:ser>
        <c:ser>
          <c:idx val="4"/>
          <c:order val="4"/>
          <c:tx>
            <c:strRef>
              <c:f>[1]Lapas1!$B$73</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[1]Lapas1!$C$73:$D$73</c:f>
              <c:numCache>
                <c:formatCode>General</c:formatCode>
                <c:ptCount val="2"/>
                <c:pt idx="0">
                  <c:v>0</c:v>
                </c:pt>
                <c:pt idx="1">
                  <c:v>0</c:v>
                </c:pt>
              </c:numCache>
            </c:numRef>
          </c:val>
          <c:extLst>
            <c:ext xmlns:c16="http://schemas.microsoft.com/office/drawing/2014/chart" uri="{C3380CC4-5D6E-409C-BE32-E72D297353CC}">
              <c16:uniqueId val="{00000005-7117-4A54-AEAF-7A3928CA0B53}"/>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[1]Lapas1!$B$74</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9344598765432026E-2"/>
                  <c:y val="-4.49233568414576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117-4A54-AEAF-7A3928CA0B53}"/>
                </c:ext>
              </c:extLst>
            </c:dLbl>
            <c:dLbl>
              <c:idx val="1"/>
              <c:layout>
                <c:manualLayout>
                  <c:x val="-2.3704166666666665E-2"/>
                  <c:y val="-5.61732411315257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117-4A54-AEAF-7A3928CA0B53}"/>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[1]Lapas1!$C$68:$D$68</c:f>
              <c:numCache>
                <c:formatCode>General</c:formatCode>
                <c:ptCount val="2"/>
                <c:pt idx="0">
                  <c:v>2021</c:v>
                </c:pt>
                <c:pt idx="1">
                  <c:v>2022</c:v>
                </c:pt>
              </c:numCache>
            </c:numRef>
          </c:cat>
          <c:val>
            <c:numRef>
              <c:f>[1]Lapas1!$C$74:$D$74</c:f>
              <c:numCache>
                <c:formatCode>General</c:formatCode>
                <c:ptCount val="2"/>
                <c:pt idx="0">
                  <c:v>12</c:v>
                </c:pt>
                <c:pt idx="1">
                  <c:v>12</c:v>
                </c:pt>
              </c:numCache>
            </c:numRef>
          </c:val>
          <c:smooth val="0"/>
          <c:extLst>
            <c:ext xmlns:c16="http://schemas.microsoft.com/office/drawing/2014/chart" uri="{C3380CC4-5D6E-409C-BE32-E72D297353CC}">
              <c16:uniqueId val="{00000008-7117-4A54-AEAF-7A3928CA0B53}"/>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2.4341512345679023E-2"/>
          <c:y val="0.70257919099158872"/>
          <c:w val="0.94739722222222233"/>
          <c:h val="0.28054598257330915"/>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09 programos vykdymo palyginimas su 2021 m.</a:t>
            </a:r>
          </a:p>
        </c:rich>
      </c:tx>
      <c:layout>
        <c:manualLayout>
          <c:xMode val="edge"/>
          <c:yMode val="edge"/>
          <c:x val="0.15920679012345679"/>
          <c:y val="1.6830446941132528E-2"/>
        </c:manualLayout>
      </c:layout>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[1]Lapas1!$B$91</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[1]Lapas1!$C$91:$D$91</c:f>
              <c:numCache>
                <c:formatCode>General</c:formatCode>
                <c:ptCount val="2"/>
                <c:pt idx="0">
                  <c:v>5</c:v>
                </c:pt>
                <c:pt idx="1">
                  <c:v>4</c:v>
                </c:pt>
              </c:numCache>
            </c:numRef>
          </c:val>
          <c:extLst>
            <c:ext xmlns:c16="http://schemas.microsoft.com/office/drawing/2014/chart" uri="{C3380CC4-5D6E-409C-BE32-E72D297353CC}">
              <c16:uniqueId val="{00000000-EAA0-498E-B277-DFB17BCB92F1}"/>
            </c:ext>
          </c:extLst>
        </c:ser>
        <c:ser>
          <c:idx val="1"/>
          <c:order val="1"/>
          <c:tx>
            <c:strRef>
              <c:f>[1]Lapas1!$B$92</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[1]Lapas1!$C$92:$D$92</c:f>
              <c:numCache>
                <c:formatCode>General</c:formatCode>
                <c:ptCount val="2"/>
                <c:pt idx="0">
                  <c:v>1</c:v>
                </c:pt>
                <c:pt idx="1">
                  <c:v>2</c:v>
                </c:pt>
              </c:numCache>
            </c:numRef>
          </c:val>
          <c:extLst>
            <c:ext xmlns:c16="http://schemas.microsoft.com/office/drawing/2014/chart" uri="{C3380CC4-5D6E-409C-BE32-E72D297353CC}">
              <c16:uniqueId val="{00000001-EAA0-498E-B277-DFB17BCB92F1}"/>
            </c:ext>
          </c:extLst>
        </c:ser>
        <c:ser>
          <c:idx val="2"/>
          <c:order val="2"/>
          <c:tx>
            <c:strRef>
              <c:f>[1]Lapas1!$B$93</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A0-498E-B277-DFB17BCB92F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[1]Lapas1!$C$93:$D$93</c:f>
              <c:numCache>
                <c:formatCode>General</c:formatCode>
                <c:ptCount val="2"/>
                <c:pt idx="0">
                  <c:v>3</c:v>
                </c:pt>
                <c:pt idx="1">
                  <c:v>5</c:v>
                </c:pt>
              </c:numCache>
            </c:numRef>
          </c:val>
          <c:extLst>
            <c:ext xmlns:c16="http://schemas.microsoft.com/office/drawing/2014/chart" uri="{C3380CC4-5D6E-409C-BE32-E72D297353CC}">
              <c16:uniqueId val="{00000003-EAA0-498E-B277-DFB17BCB92F1}"/>
            </c:ext>
          </c:extLst>
        </c:ser>
        <c:ser>
          <c:idx val="3"/>
          <c:order val="3"/>
          <c:tx>
            <c:strRef>
              <c:f>[1]Lapas1!$B$94</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[1]Lapas1!$C$94:$D$94</c:f>
              <c:numCache>
                <c:formatCode>General</c:formatCode>
                <c:ptCount val="2"/>
                <c:pt idx="0">
                  <c:v>8</c:v>
                </c:pt>
                <c:pt idx="1">
                  <c:v>4</c:v>
                </c:pt>
              </c:numCache>
            </c:numRef>
          </c:val>
          <c:extLst>
            <c:ext xmlns:c16="http://schemas.microsoft.com/office/drawing/2014/chart" uri="{C3380CC4-5D6E-409C-BE32-E72D297353CC}">
              <c16:uniqueId val="{00000004-EAA0-498E-B277-DFB17BCB92F1}"/>
            </c:ext>
          </c:extLst>
        </c:ser>
        <c:ser>
          <c:idx val="4"/>
          <c:order val="4"/>
          <c:tx>
            <c:strRef>
              <c:f>[1]Lapas1!$B$95</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[1]Lapas1!$C$95:$D$95</c:f>
              <c:numCache>
                <c:formatCode>General</c:formatCode>
                <c:ptCount val="2"/>
                <c:pt idx="0">
                  <c:v>1</c:v>
                </c:pt>
                <c:pt idx="1">
                  <c:v>2</c:v>
                </c:pt>
              </c:numCache>
            </c:numRef>
          </c:val>
          <c:extLst>
            <c:ext xmlns:c16="http://schemas.microsoft.com/office/drawing/2014/chart" uri="{C3380CC4-5D6E-409C-BE32-E72D297353CC}">
              <c16:uniqueId val="{00000005-EAA0-498E-B277-DFB17BCB92F1}"/>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[1]Lapas1!$B$96</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A0-498E-B277-DFB17BCB92F1}"/>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A0-498E-B277-DFB17BCB92F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[1]Lapas1!$C$90:$D$90</c:f>
              <c:numCache>
                <c:formatCode>General</c:formatCode>
                <c:ptCount val="2"/>
                <c:pt idx="0">
                  <c:v>2021</c:v>
                </c:pt>
                <c:pt idx="1">
                  <c:v>2022</c:v>
                </c:pt>
              </c:numCache>
            </c:numRef>
          </c:cat>
          <c:val>
            <c:numRef>
              <c:f>[1]Lapas1!$C$96:$D$96</c:f>
              <c:numCache>
                <c:formatCode>General</c:formatCode>
                <c:ptCount val="2"/>
                <c:pt idx="0">
                  <c:v>18</c:v>
                </c:pt>
                <c:pt idx="1">
                  <c:v>17</c:v>
                </c:pt>
              </c:numCache>
            </c:numRef>
          </c:val>
          <c:smooth val="0"/>
          <c:extLst>
            <c:ext xmlns:c16="http://schemas.microsoft.com/office/drawing/2014/chart" uri="{C3380CC4-5D6E-409C-BE32-E72D297353CC}">
              <c16:uniqueId val="{00000008-EAA0-498E-B277-DFB17BCB92F1}"/>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2.0421759259259268E-2"/>
          <c:y val="0.7033613848144753"/>
          <c:w val="0.95523672839506168"/>
          <c:h val="0.2798081682443922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10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[1]Lapas1!$B$102</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[1]Lapas1!$C$102:$D$102</c:f>
              <c:numCache>
                <c:formatCode>General</c:formatCode>
                <c:ptCount val="2"/>
                <c:pt idx="0">
                  <c:v>15</c:v>
                </c:pt>
                <c:pt idx="1">
                  <c:v>12</c:v>
                </c:pt>
              </c:numCache>
            </c:numRef>
          </c:val>
          <c:extLst>
            <c:ext xmlns:c16="http://schemas.microsoft.com/office/drawing/2014/chart" uri="{C3380CC4-5D6E-409C-BE32-E72D297353CC}">
              <c16:uniqueId val="{00000000-5752-4E64-B6CD-20E73F36B9E5}"/>
            </c:ext>
          </c:extLst>
        </c:ser>
        <c:ser>
          <c:idx val="1"/>
          <c:order val="1"/>
          <c:tx>
            <c:strRef>
              <c:f>[1]Lapas1!$B$103</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[1]Lapas1!$C$103:$D$103</c:f>
              <c:numCache>
                <c:formatCode>General</c:formatCode>
                <c:ptCount val="2"/>
                <c:pt idx="0">
                  <c:v>0</c:v>
                </c:pt>
                <c:pt idx="1">
                  <c:v>1</c:v>
                </c:pt>
              </c:numCache>
            </c:numRef>
          </c:val>
          <c:extLst>
            <c:ext xmlns:c16="http://schemas.microsoft.com/office/drawing/2014/chart" uri="{C3380CC4-5D6E-409C-BE32-E72D297353CC}">
              <c16:uniqueId val="{00000001-5752-4E64-B6CD-20E73F36B9E5}"/>
            </c:ext>
          </c:extLst>
        </c:ser>
        <c:ser>
          <c:idx val="2"/>
          <c:order val="2"/>
          <c:tx>
            <c:strRef>
              <c:f>[1]Lapas1!$B$104</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9598765432098405E-3"/>
                  <c:y val="1.68473258628781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01-4CA1-945E-DF88CF267F5D}"/>
                </c:ext>
              </c:extLst>
            </c:dLbl>
            <c:dLbl>
              <c:idx val="1"/>
              <c:layout>
                <c:manualLayout>
                  <c:x val="1.7676005773234013E-2"/>
                  <c:y val="8.443815732280644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52-4E64-B6CD-20E73F36B9E5}"/>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[1]Lapas1!$C$104:$D$104</c:f>
              <c:numCache>
                <c:formatCode>General</c:formatCode>
                <c:ptCount val="2"/>
                <c:pt idx="0">
                  <c:v>10</c:v>
                </c:pt>
                <c:pt idx="1">
                  <c:v>9</c:v>
                </c:pt>
              </c:numCache>
            </c:numRef>
          </c:val>
          <c:extLst>
            <c:ext xmlns:c16="http://schemas.microsoft.com/office/drawing/2014/chart" uri="{C3380CC4-5D6E-409C-BE32-E72D297353CC}">
              <c16:uniqueId val="{00000003-5752-4E64-B6CD-20E73F36B9E5}"/>
            </c:ext>
          </c:extLst>
        </c:ser>
        <c:ser>
          <c:idx val="3"/>
          <c:order val="3"/>
          <c:tx>
            <c:strRef>
              <c:f>[1]Lapas1!$B$105</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7.1861309769712849E-17"/>
                  <c:y val="8.423662931439122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301-4CA1-945E-DF88CF267F5D}"/>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[1]Lapas1!$C$105:$D$105</c:f>
              <c:numCache>
                <c:formatCode>General</c:formatCode>
                <c:ptCount val="2"/>
                <c:pt idx="0">
                  <c:v>12</c:v>
                </c:pt>
                <c:pt idx="1">
                  <c:v>4</c:v>
                </c:pt>
              </c:numCache>
            </c:numRef>
          </c:val>
          <c:extLst>
            <c:ext xmlns:c16="http://schemas.microsoft.com/office/drawing/2014/chart" uri="{C3380CC4-5D6E-409C-BE32-E72D297353CC}">
              <c16:uniqueId val="{00000004-5752-4E64-B6CD-20E73F36B9E5}"/>
            </c:ext>
          </c:extLst>
        </c:ser>
        <c:ser>
          <c:idx val="4"/>
          <c:order val="4"/>
          <c:tx>
            <c:strRef>
              <c:f>[1]Lapas1!$B$106</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[1]Lapas1!$C$106:$D$106</c:f>
              <c:numCache>
                <c:formatCode>General</c:formatCode>
                <c:ptCount val="2"/>
                <c:pt idx="0">
                  <c:v>4</c:v>
                </c:pt>
                <c:pt idx="1">
                  <c:v>0</c:v>
                </c:pt>
              </c:numCache>
            </c:numRef>
          </c:val>
          <c:extLst>
            <c:ext xmlns:c16="http://schemas.microsoft.com/office/drawing/2014/chart" uri="{C3380CC4-5D6E-409C-BE32-E72D297353CC}">
              <c16:uniqueId val="{00000005-5752-4E64-B6CD-20E73F36B9E5}"/>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[1]Lapas1!$B$107</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52-4E64-B6CD-20E73F36B9E5}"/>
                </c:ext>
              </c:extLst>
            </c:dLbl>
            <c:dLbl>
              <c:idx val="1"/>
              <c:layout>
                <c:manualLayout>
                  <c:x val="-5.8829320987654324E-2"/>
                  <c:y val="-7.30114904510816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52-4E64-B6CD-20E73F36B9E5}"/>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[1]Lapas1!$C$101:$D$101</c:f>
              <c:numCache>
                <c:formatCode>General</c:formatCode>
                <c:ptCount val="2"/>
                <c:pt idx="0">
                  <c:v>2021</c:v>
                </c:pt>
                <c:pt idx="1">
                  <c:v>2022</c:v>
                </c:pt>
              </c:numCache>
            </c:numRef>
          </c:cat>
          <c:val>
            <c:numRef>
              <c:f>[1]Lapas1!$C$107:$D$107</c:f>
              <c:numCache>
                <c:formatCode>General</c:formatCode>
                <c:ptCount val="2"/>
                <c:pt idx="0">
                  <c:v>41</c:v>
                </c:pt>
                <c:pt idx="1">
                  <c:v>26</c:v>
                </c:pt>
              </c:numCache>
            </c:numRef>
          </c:val>
          <c:smooth val="0"/>
          <c:extLst>
            <c:ext xmlns:c16="http://schemas.microsoft.com/office/drawing/2014/chart" uri="{C3380CC4-5D6E-409C-BE32-E72D297353CC}">
              <c16:uniqueId val="{00000008-5752-4E64-B6CD-20E73F36B9E5}"/>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2.0421759259259268E-2"/>
          <c:y val="0.70306389182513362"/>
          <c:w val="0.95327685185185185"/>
          <c:h val="0.28008878231198814"/>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02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explosion val="3"/>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C4D5-4D30-9683-F224A9D265BD}"/>
              </c:ext>
            </c:extLst>
          </c:dPt>
          <c:dPt>
            <c:idx val="1"/>
            <c:bubble3D val="0"/>
            <c:explosion val="11"/>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C4D5-4D30-9683-F224A9D265BD}"/>
              </c:ext>
            </c:extLst>
          </c:dPt>
          <c:dPt>
            <c:idx val="2"/>
            <c:bubble3D val="0"/>
            <c:explosion val="7"/>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C4D5-4D30-9683-F224A9D265BD}"/>
              </c:ext>
            </c:extLst>
          </c:dPt>
          <c:dPt>
            <c:idx val="3"/>
            <c:bubble3D val="0"/>
            <c:explosion val="9"/>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C4D5-4D30-9683-F224A9D265BD}"/>
              </c:ext>
            </c:extLst>
          </c:dPt>
          <c:dPt>
            <c:idx val="4"/>
            <c:bubble3D val="0"/>
            <c:explosion val="10"/>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C4D5-4D30-9683-F224A9D265BD}"/>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Planas!$P$48:$P$52</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Planas!$Q$48:$Q$52</c:f>
              <c:numCache>
                <c:formatCode>General</c:formatCode>
                <c:ptCount val="5"/>
                <c:pt idx="0">
                  <c:v>7</c:v>
                </c:pt>
                <c:pt idx="1">
                  <c:v>1</c:v>
                </c:pt>
                <c:pt idx="2">
                  <c:v>3</c:v>
                </c:pt>
                <c:pt idx="3">
                  <c:v>3</c:v>
                </c:pt>
                <c:pt idx="4">
                  <c:v>3</c:v>
                </c:pt>
              </c:numCache>
            </c:numRef>
          </c:val>
          <c:extLst>
            <c:ext xmlns:c16="http://schemas.microsoft.com/office/drawing/2014/chart" uri="{C3380CC4-5D6E-409C-BE32-E72D297353CC}">
              <c16:uniqueId val="{0000000A-C4D5-4D30-9683-F224A9D265BD}"/>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11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[1]Lapas1!$B$113</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[1]Lapas1!$C$113:$D$113</c:f>
              <c:numCache>
                <c:formatCode>General</c:formatCode>
                <c:ptCount val="2"/>
                <c:pt idx="0">
                  <c:v>30</c:v>
                </c:pt>
                <c:pt idx="1">
                  <c:v>27</c:v>
                </c:pt>
              </c:numCache>
            </c:numRef>
          </c:val>
          <c:extLst>
            <c:ext xmlns:c16="http://schemas.microsoft.com/office/drawing/2014/chart" uri="{C3380CC4-5D6E-409C-BE32-E72D297353CC}">
              <c16:uniqueId val="{00000000-353A-4997-A95E-1F1A4EE95E70}"/>
            </c:ext>
          </c:extLst>
        </c:ser>
        <c:ser>
          <c:idx val="1"/>
          <c:order val="1"/>
          <c:tx>
            <c:strRef>
              <c:f>[1]Lapas1!$B$114</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[1]Lapas1!$C$114:$D$114</c:f>
              <c:numCache>
                <c:formatCode>General</c:formatCode>
                <c:ptCount val="2"/>
                <c:pt idx="0">
                  <c:v>1</c:v>
                </c:pt>
                <c:pt idx="1">
                  <c:v>1</c:v>
                </c:pt>
              </c:numCache>
            </c:numRef>
          </c:val>
          <c:extLst>
            <c:ext xmlns:c16="http://schemas.microsoft.com/office/drawing/2014/chart" uri="{C3380CC4-5D6E-409C-BE32-E72D297353CC}">
              <c16:uniqueId val="{00000001-353A-4997-A95E-1F1A4EE95E70}"/>
            </c:ext>
          </c:extLst>
        </c:ser>
        <c:ser>
          <c:idx val="2"/>
          <c:order val="2"/>
          <c:tx>
            <c:strRef>
              <c:f>[1]Lapas1!$B$115</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1"/>
              <c:layout>
                <c:manualLayout>
                  <c:x val="-1.439871737509502E-16"/>
                  <c:y val="1.406235536258509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3A-4997-A95E-1F1A4EE95E70}"/>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[1]Lapas1!$C$115:$D$115</c:f>
              <c:numCache>
                <c:formatCode>General</c:formatCode>
                <c:ptCount val="2"/>
                <c:pt idx="0">
                  <c:v>6</c:v>
                </c:pt>
                <c:pt idx="1">
                  <c:v>5</c:v>
                </c:pt>
              </c:numCache>
            </c:numRef>
          </c:val>
          <c:extLst>
            <c:ext xmlns:c16="http://schemas.microsoft.com/office/drawing/2014/chart" uri="{C3380CC4-5D6E-409C-BE32-E72D297353CC}">
              <c16:uniqueId val="{00000003-353A-4997-A95E-1F1A4EE95E70}"/>
            </c:ext>
          </c:extLst>
        </c:ser>
        <c:ser>
          <c:idx val="3"/>
          <c:order val="3"/>
          <c:tx>
            <c:strRef>
              <c:f>[1]Lapas1!$B$116</c:f>
              <c:strCache>
                <c:ptCount val="1"/>
                <c:pt idx="0">
                  <c:v>Vykdant priemonę buvo pasiekta daugiau vertinimo kriterijų reikšmių nei planuota</c:v>
                </c:pt>
              </c:strCache>
            </c:strRef>
          </c:tx>
          <c:spPr>
            <a:solidFill>
              <a:srgbClr val="D9E1F2"/>
            </a:solidFill>
            <a:ln>
              <a:solidFill>
                <a:schemeClr val="accent5">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[1]Lapas1!$C$116:$D$116</c:f>
              <c:numCache>
                <c:formatCode>General</c:formatCode>
                <c:ptCount val="2"/>
                <c:pt idx="0">
                  <c:v>1</c:v>
                </c:pt>
                <c:pt idx="1">
                  <c:v>3</c:v>
                </c:pt>
              </c:numCache>
            </c:numRef>
          </c:val>
          <c:extLst>
            <c:ext xmlns:c16="http://schemas.microsoft.com/office/drawing/2014/chart" uri="{C3380CC4-5D6E-409C-BE32-E72D297353CC}">
              <c16:uniqueId val="{00000004-353A-4997-A95E-1F1A4EE95E70}"/>
            </c:ext>
          </c:extLst>
        </c:ser>
        <c:ser>
          <c:idx val="4"/>
          <c:order val="4"/>
          <c:tx>
            <c:strRef>
              <c:f>[1]Lapas1!$B$117</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[1]Lapas1!$C$117:$D$117</c:f>
              <c:numCache>
                <c:formatCode>General</c:formatCode>
                <c:ptCount val="2"/>
                <c:pt idx="0">
                  <c:v>0</c:v>
                </c:pt>
                <c:pt idx="1">
                  <c:v>5</c:v>
                </c:pt>
              </c:numCache>
            </c:numRef>
          </c:val>
          <c:extLst>
            <c:ext xmlns:c16="http://schemas.microsoft.com/office/drawing/2014/chart" uri="{C3380CC4-5D6E-409C-BE32-E72D297353CC}">
              <c16:uniqueId val="{00000005-353A-4997-A95E-1F1A4EE95E70}"/>
            </c:ext>
          </c:extLst>
        </c:ser>
        <c:dLbls>
          <c:dLblPos val="outEnd"/>
          <c:showLegendKey val="0"/>
          <c:showVal val="1"/>
          <c:showCatName val="0"/>
          <c:showSerName val="0"/>
          <c:showPercent val="0"/>
          <c:showBubbleSize val="0"/>
        </c:dLbls>
        <c:gapWidth val="150"/>
        <c:axId val="1495728303"/>
        <c:axId val="1495744527"/>
      </c:barChart>
      <c:lineChart>
        <c:grouping val="standard"/>
        <c:varyColors val="0"/>
        <c:ser>
          <c:idx val="5"/>
          <c:order val="5"/>
          <c:tx>
            <c:strRef>
              <c:f>[1]Lapas1!$B$118</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5532008339115866E-2"/>
                  <c:y val="-5.0548314326489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3A-4997-A95E-1F1A4EE95E70}"/>
                </c:ext>
              </c:extLst>
            </c:dLbl>
            <c:dLbl>
              <c:idx val="1"/>
              <c:layout>
                <c:manualLayout>
                  <c:x val="-1.5712005131763566E-2"/>
                  <c:y val="-5.0548314326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53A-4997-A95E-1F1A4EE95E70}"/>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[1]Lapas1!$C$112:$D$112</c:f>
              <c:numCache>
                <c:formatCode>General</c:formatCode>
                <c:ptCount val="2"/>
                <c:pt idx="0">
                  <c:v>2021</c:v>
                </c:pt>
                <c:pt idx="1">
                  <c:v>2022</c:v>
                </c:pt>
              </c:numCache>
            </c:numRef>
          </c:cat>
          <c:val>
            <c:numRef>
              <c:f>[1]Lapas1!$C$118:$D$118</c:f>
              <c:numCache>
                <c:formatCode>General</c:formatCode>
                <c:ptCount val="2"/>
                <c:pt idx="0">
                  <c:v>38</c:v>
                </c:pt>
                <c:pt idx="1">
                  <c:v>41</c:v>
                </c:pt>
              </c:numCache>
            </c:numRef>
          </c:val>
          <c:smooth val="0"/>
          <c:extLst>
            <c:ext xmlns:c16="http://schemas.microsoft.com/office/drawing/2014/chart" uri="{C3380CC4-5D6E-409C-BE32-E72D297353CC}">
              <c16:uniqueId val="{00000008-353A-4997-A95E-1F1A4EE95E70}"/>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1365529139201764E-2"/>
          <c:y val="0.71418739553632882"/>
          <c:w val="0.93532986515318639"/>
          <c:h val="0.26959639514943812"/>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02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4855260673190334"/>
        </c:manualLayout>
      </c:layout>
      <c:barChart>
        <c:barDir val="col"/>
        <c:grouping val="clustered"/>
        <c:varyColors val="0"/>
        <c:ser>
          <c:idx val="0"/>
          <c:order val="0"/>
          <c:tx>
            <c:strRef>
              <c:f>[1]Lapas1!$B$13</c:f>
              <c:strCache>
                <c:ptCount val="1"/>
                <c:pt idx="0">
                  <c:v>Priemonė buvo įvykdyta pagal planą</c:v>
                </c:pt>
              </c:strCache>
            </c:strRef>
          </c:tx>
          <c:spPr>
            <a:solidFill>
              <a:srgbClr val="E2EFDA"/>
            </a:solidFill>
            <a:ln>
              <a:solidFill>
                <a:schemeClr val="accent3">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[1]Lapas1!$C$13:$D$13</c:f>
              <c:numCache>
                <c:formatCode>General</c:formatCode>
                <c:ptCount val="2"/>
                <c:pt idx="0">
                  <c:v>7</c:v>
                </c:pt>
                <c:pt idx="1">
                  <c:v>7</c:v>
                </c:pt>
              </c:numCache>
            </c:numRef>
          </c:val>
          <c:extLst>
            <c:ext xmlns:c16="http://schemas.microsoft.com/office/drawing/2014/chart" uri="{C3380CC4-5D6E-409C-BE32-E72D297353CC}">
              <c16:uniqueId val="{00000000-ECF6-47AA-80F8-804EB64D2ED2}"/>
            </c:ext>
          </c:extLst>
        </c:ser>
        <c:ser>
          <c:idx val="1"/>
          <c:order val="1"/>
          <c:tx>
            <c:strRef>
              <c:f>[1]Lapas1!$B$14</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[1]Lapas1!$C$14:$D$14</c:f>
              <c:numCache>
                <c:formatCode>General</c:formatCode>
                <c:ptCount val="2"/>
                <c:pt idx="0">
                  <c:v>1</c:v>
                </c:pt>
                <c:pt idx="1">
                  <c:v>1</c:v>
                </c:pt>
              </c:numCache>
            </c:numRef>
          </c:val>
          <c:extLst>
            <c:ext xmlns:c16="http://schemas.microsoft.com/office/drawing/2014/chart" uri="{C3380CC4-5D6E-409C-BE32-E72D297353CC}">
              <c16:uniqueId val="{00000001-ECF6-47AA-80F8-804EB64D2ED2}"/>
            </c:ext>
          </c:extLst>
        </c:ser>
        <c:ser>
          <c:idx val="2"/>
          <c:order val="2"/>
          <c:tx>
            <c:strRef>
              <c:f>[1]Lapas1!$B$15</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5930654884856425E-17"/>
                  <c:y val="1.68494381088296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F6-47AA-80F8-804EB64D2ED2}"/>
                </c:ext>
              </c:extLst>
            </c:dLbl>
            <c:dLbl>
              <c:idx val="1"/>
              <c:layout>
                <c:manualLayout>
                  <c:x val="0"/>
                  <c:y val="1.68494381088296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F6-47AA-80F8-804EB64D2ED2}"/>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[1]Lapas1!$C$15:$D$15</c:f>
              <c:numCache>
                <c:formatCode>General</c:formatCode>
                <c:ptCount val="2"/>
                <c:pt idx="0">
                  <c:v>2</c:v>
                </c:pt>
                <c:pt idx="1">
                  <c:v>3</c:v>
                </c:pt>
              </c:numCache>
            </c:numRef>
          </c:val>
          <c:extLst>
            <c:ext xmlns:c16="http://schemas.microsoft.com/office/drawing/2014/chart" uri="{C3380CC4-5D6E-409C-BE32-E72D297353CC}">
              <c16:uniqueId val="{00000004-ECF6-47AA-80F8-804EB64D2ED2}"/>
            </c:ext>
          </c:extLst>
        </c:ser>
        <c:ser>
          <c:idx val="3"/>
          <c:order val="3"/>
          <c:tx>
            <c:strRef>
              <c:f>[1]Lapas1!$B$16</c:f>
              <c:strCache>
                <c:ptCount val="1"/>
                <c:pt idx="0">
                  <c:v>Vykdant priemonę buvo pasiekta daugiau vertinimo kriterijų reikšmių nei planuota</c:v>
                </c:pt>
              </c:strCache>
            </c:strRef>
          </c:tx>
          <c:spPr>
            <a:solidFill>
              <a:srgbClr val="D9E1F2"/>
            </a:solidFill>
            <a:ln>
              <a:solidFill>
                <a:schemeClr val="accent5">
                  <a:lumMod val="40000"/>
                  <a:lumOff val="6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[1]Lapas1!$C$16:$D$16</c:f>
              <c:numCache>
                <c:formatCode>General</c:formatCode>
                <c:ptCount val="2"/>
                <c:pt idx="0">
                  <c:v>3</c:v>
                </c:pt>
                <c:pt idx="1">
                  <c:v>3</c:v>
                </c:pt>
              </c:numCache>
            </c:numRef>
          </c:val>
          <c:extLst>
            <c:ext xmlns:c16="http://schemas.microsoft.com/office/drawing/2014/chart" uri="{C3380CC4-5D6E-409C-BE32-E72D297353CC}">
              <c16:uniqueId val="{00000005-ECF6-47AA-80F8-804EB64D2ED2}"/>
            </c:ext>
          </c:extLst>
        </c:ser>
        <c:ser>
          <c:idx val="4"/>
          <c:order val="4"/>
          <c:tx>
            <c:strRef>
              <c:f>[1]Lapas1!$B$17</c:f>
              <c:strCache>
                <c:ptCount val="1"/>
                <c:pt idx="0">
                  <c:v>Priemonė neįvykdyta, t.y. nepasiekta planuota vertinimo kriterijų reikšmė</c:v>
                </c:pt>
              </c:strCache>
            </c:strRef>
          </c:tx>
          <c:spPr>
            <a:solidFill>
              <a:srgbClr val="FCE4D6"/>
            </a:solidFill>
            <a:ln>
              <a:solidFill>
                <a:schemeClr val="accent6">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0"/>
                  <c:y val="1.12329587392197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CF6-47AA-80F8-804EB64D2ED2}"/>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[1]Lapas1!$C$17:$D$17</c:f>
              <c:numCache>
                <c:formatCode>General</c:formatCode>
                <c:ptCount val="2"/>
                <c:pt idx="0">
                  <c:v>1</c:v>
                </c:pt>
                <c:pt idx="1">
                  <c:v>3</c:v>
                </c:pt>
              </c:numCache>
            </c:numRef>
          </c:val>
          <c:extLst>
            <c:ext xmlns:c16="http://schemas.microsoft.com/office/drawing/2014/chart" uri="{C3380CC4-5D6E-409C-BE32-E72D297353CC}">
              <c16:uniqueId val="{00000007-ECF6-47AA-80F8-804EB64D2ED2}"/>
            </c:ext>
          </c:extLst>
        </c:ser>
        <c:dLbls>
          <c:showLegendKey val="0"/>
          <c:showVal val="0"/>
          <c:showCatName val="0"/>
          <c:showSerName val="0"/>
          <c:showPercent val="0"/>
          <c:showBubbleSize val="0"/>
        </c:dLbls>
        <c:gapWidth val="150"/>
        <c:axId val="1495728303"/>
        <c:axId val="1495744527"/>
      </c:barChart>
      <c:lineChart>
        <c:grouping val="standard"/>
        <c:varyColors val="0"/>
        <c:ser>
          <c:idx val="5"/>
          <c:order val="5"/>
          <c:tx>
            <c:strRef>
              <c:f>[1]Lapas1!$B$18</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dLbl>
              <c:idx val="0"/>
              <c:layout>
                <c:manualLayout>
                  <c:x val="-2.6458333333333407E-2"/>
                  <c:y val="-5.30757300428135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CF6-47AA-80F8-804EB64D2ED2}"/>
                </c:ext>
              </c:extLst>
            </c:dLbl>
            <c:dLbl>
              <c:idx val="1"/>
              <c:layout>
                <c:manualLayout>
                  <c:x val="-2.4487033286786117E-2"/>
                  <c:y val="-4.74592506732036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CF6-47AA-80F8-804EB64D2ED2}"/>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[1]Lapas1!$C$12:$D$12</c:f>
              <c:numCache>
                <c:formatCode>General</c:formatCode>
                <c:ptCount val="2"/>
                <c:pt idx="0">
                  <c:v>2021</c:v>
                </c:pt>
                <c:pt idx="1">
                  <c:v>2022</c:v>
                </c:pt>
              </c:numCache>
            </c:numRef>
          </c:cat>
          <c:val>
            <c:numRef>
              <c:f>[1]Lapas1!$C$18:$D$18</c:f>
              <c:numCache>
                <c:formatCode>General</c:formatCode>
                <c:ptCount val="2"/>
                <c:pt idx="0">
                  <c:v>14</c:v>
                </c:pt>
                <c:pt idx="1">
                  <c:v>17</c:v>
                </c:pt>
              </c:numCache>
            </c:numRef>
          </c:val>
          <c:smooth val="0"/>
          <c:extLst>
            <c:ext xmlns:c16="http://schemas.microsoft.com/office/drawing/2014/chart" uri="{C3380CC4-5D6E-409C-BE32-E72D297353CC}">
              <c16:uniqueId val="{0000000A-ECF6-47AA-80F8-804EB64D2ED2}"/>
            </c:ext>
          </c:extLst>
        </c:ser>
        <c:dLbls>
          <c:showLegendKey val="0"/>
          <c:showVal val="0"/>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7032746913580248"/>
              <c:y val="0.5987047602537233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8.231481481481482E-3"/>
              <c:y val="0.1353012091351373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7072770187663036E-2"/>
          <c:y val="0.70302666324076168"/>
          <c:w val="0.94150046345582661"/>
          <c:h val="0.2801238986504086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no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r>
              <a:rPr lang="lt-LT"/>
              <a:t>2022 m. 08 programos vykdymo palyginimas su 2021 m.</a:t>
            </a:r>
          </a:p>
        </c:rich>
      </c:tx>
      <c:overlay val="0"/>
      <c:spPr>
        <a:noFill/>
        <a:ln>
          <a:noFill/>
        </a:ln>
        <a:effectLst/>
      </c:spPr>
      <c:txPr>
        <a:bodyPr rot="0" spcFirstLastPara="1" vertOverflow="ellipsis" vert="horz" wrap="square" anchor="ctr" anchorCtr="1"/>
        <a:lstStyle/>
        <a:p>
          <a:pPr>
            <a:defRPr sz="1440" b="1" i="0" u="none" strike="noStrike" kern="1200" baseline="0">
              <a:solidFill>
                <a:sysClr val="windowText" lastClr="000000"/>
              </a:solidFill>
              <a:latin typeface="Times New Roman" panose="02020603050405020304" pitchFamily="18" charset="0"/>
              <a:ea typeface="+mn-ea"/>
              <a:cs typeface="+mn-cs"/>
            </a:defRPr>
          </a:pPr>
          <a:endParaRPr lang="lt-LT"/>
        </a:p>
      </c:txPr>
    </c:title>
    <c:autoTitleDeleted val="0"/>
    <c:plotArea>
      <c:layout>
        <c:manualLayout>
          <c:layoutTarget val="inner"/>
          <c:xMode val="edge"/>
          <c:yMode val="edge"/>
          <c:x val="9.2114197530864195E-2"/>
          <c:y val="0.10936134259259259"/>
          <c:w val="0.81829984567901248"/>
          <c:h val="0.48786805555555546"/>
        </c:manualLayout>
      </c:layout>
      <c:barChart>
        <c:barDir val="col"/>
        <c:grouping val="clustered"/>
        <c:varyColors val="0"/>
        <c:ser>
          <c:idx val="0"/>
          <c:order val="0"/>
          <c:tx>
            <c:strRef>
              <c:f>[2]Lapas1!$B$80</c:f>
              <c:strCache>
                <c:ptCount val="1"/>
                <c:pt idx="0">
                  <c:v>Priemonė buvo įvykdyta pagal planą</c:v>
                </c:pt>
              </c:strCache>
            </c:strRef>
          </c:tx>
          <c:spPr>
            <a:solidFill>
              <a:srgbClr val="E2EFDA"/>
            </a:solidFill>
            <a:ln>
              <a:solidFill>
                <a:schemeClr val="accent3">
                  <a:lumMod val="75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[2]Lapas1!$C$80:$D$80</c:f>
              <c:numCache>
                <c:formatCode>General</c:formatCode>
                <c:ptCount val="2"/>
                <c:pt idx="0">
                  <c:v>13</c:v>
                </c:pt>
                <c:pt idx="1">
                  <c:v>16</c:v>
                </c:pt>
              </c:numCache>
            </c:numRef>
          </c:val>
          <c:extLst>
            <c:ext xmlns:c16="http://schemas.microsoft.com/office/drawing/2014/chart" uri="{C3380CC4-5D6E-409C-BE32-E72D297353CC}">
              <c16:uniqueId val="{00000000-E4B8-41D9-A746-68565C130AE7}"/>
            </c:ext>
          </c:extLst>
        </c:ser>
        <c:ser>
          <c:idx val="1"/>
          <c:order val="1"/>
          <c:tx>
            <c:strRef>
              <c:f>[2]Lapas1!$B$81</c:f>
              <c:strCache>
                <c:ptCount val="1"/>
                <c:pt idx="0">
                  <c:v>Vykdant priemonę buvo pasiekta vertinimo kriterijų reikšmių mažiau nei 50 %</c:v>
                </c:pt>
              </c:strCache>
            </c:strRef>
          </c:tx>
          <c:spPr>
            <a:solidFill>
              <a:srgbClr val="FFFFCC"/>
            </a:solidFill>
            <a:ln>
              <a:solidFill>
                <a:srgbClr val="FFC000"/>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[2]Lapas1!$C$81:$D$81</c:f>
              <c:numCache>
                <c:formatCode>General</c:formatCode>
                <c:ptCount val="2"/>
                <c:pt idx="0">
                  <c:v>2</c:v>
                </c:pt>
              </c:numCache>
            </c:numRef>
          </c:val>
          <c:extLst>
            <c:ext xmlns:c16="http://schemas.microsoft.com/office/drawing/2014/chart" uri="{C3380CC4-5D6E-409C-BE32-E72D297353CC}">
              <c16:uniqueId val="{00000001-E4B8-41D9-A746-68565C130AE7}"/>
            </c:ext>
          </c:extLst>
        </c:ser>
        <c:ser>
          <c:idx val="2"/>
          <c:order val="2"/>
          <c:tx>
            <c:strRef>
              <c:f>[2]Lapas1!$B$82</c:f>
              <c:strCache>
                <c:ptCount val="1"/>
                <c:pt idx="0">
                  <c:v>Vykdant priemonę buvo pasiekta vertinimo kriterijų reikšmių 50 % ir daugiau</c:v>
                </c:pt>
              </c:strCache>
            </c:strRef>
          </c:tx>
          <c:spPr>
            <a:solidFill>
              <a:srgbClr val="FFC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[2]Lapas1!$C$82:$D$82</c:f>
              <c:numCache>
                <c:formatCode>General</c:formatCode>
                <c:ptCount val="2"/>
                <c:pt idx="0">
                  <c:v>3</c:v>
                </c:pt>
                <c:pt idx="1">
                  <c:v>10</c:v>
                </c:pt>
              </c:numCache>
            </c:numRef>
          </c:val>
          <c:extLst>
            <c:ext xmlns:c16="http://schemas.microsoft.com/office/drawing/2014/chart" uri="{C3380CC4-5D6E-409C-BE32-E72D297353CC}">
              <c16:uniqueId val="{00000002-E4B8-41D9-A746-68565C130AE7}"/>
            </c:ext>
          </c:extLst>
        </c:ser>
        <c:ser>
          <c:idx val="3"/>
          <c:order val="3"/>
          <c:tx>
            <c:strRef>
              <c:f>[2]Lapas1!$B$83</c:f>
              <c:strCache>
                <c:ptCount val="1"/>
                <c:pt idx="0">
                  <c:v>Vykdant priemonę buvo pasiekta daugiau vertinimo kriterijų reikšmių nei planuota</c:v>
                </c:pt>
              </c:strCache>
            </c:strRef>
          </c:tx>
          <c:spPr>
            <a:solidFill>
              <a:srgbClr val="D9E1F2"/>
            </a:solidFill>
            <a:ln>
              <a:solidFill>
                <a:schemeClr val="accent1">
                  <a:lumMod val="60000"/>
                  <a:lumOff val="4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[2]Lapas1!$C$83:$D$83</c:f>
              <c:numCache>
                <c:formatCode>General</c:formatCode>
                <c:ptCount val="2"/>
                <c:pt idx="0">
                  <c:v>2</c:v>
                </c:pt>
                <c:pt idx="1">
                  <c:v>6</c:v>
                </c:pt>
              </c:numCache>
            </c:numRef>
          </c:val>
          <c:extLst>
            <c:ext xmlns:c16="http://schemas.microsoft.com/office/drawing/2014/chart" uri="{C3380CC4-5D6E-409C-BE32-E72D297353CC}">
              <c16:uniqueId val="{00000003-E4B8-41D9-A746-68565C130AE7}"/>
            </c:ext>
          </c:extLst>
        </c:ser>
        <c:ser>
          <c:idx val="4"/>
          <c:order val="4"/>
          <c:tx>
            <c:strRef>
              <c:f>[2]Lapas1!$B$84</c:f>
              <c:strCache>
                <c:ptCount val="1"/>
                <c:pt idx="0">
                  <c:v>Priemonė neįvykdyta, t.y. nepasiekta planuota vertinimo kriterijų reikšmė</c:v>
                </c:pt>
              </c:strCache>
            </c:strRef>
          </c:tx>
          <c:spPr>
            <a:solidFill>
              <a:srgbClr val="FCE4D6"/>
            </a:solidFill>
            <a:ln>
              <a:solidFill>
                <a:schemeClr val="accent2">
                  <a:lumMod val="40000"/>
                  <a:lumOff val="60000"/>
                </a:schemeClr>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[2]Lapas1!$C$84:$D$84</c:f>
              <c:numCache>
                <c:formatCode>General</c:formatCode>
                <c:ptCount val="2"/>
                <c:pt idx="0">
                  <c:v>2</c:v>
                </c:pt>
                <c:pt idx="1">
                  <c:v>4</c:v>
                </c:pt>
              </c:numCache>
            </c:numRef>
          </c:val>
          <c:extLst>
            <c:ext xmlns:c16="http://schemas.microsoft.com/office/drawing/2014/chart" uri="{C3380CC4-5D6E-409C-BE32-E72D297353CC}">
              <c16:uniqueId val="{00000004-E4B8-41D9-A746-68565C130AE7}"/>
            </c:ext>
          </c:extLst>
        </c:ser>
        <c:dLbls>
          <c:showLegendKey val="0"/>
          <c:showVal val="1"/>
          <c:showCatName val="0"/>
          <c:showSerName val="0"/>
          <c:showPercent val="0"/>
          <c:showBubbleSize val="0"/>
        </c:dLbls>
        <c:gapWidth val="150"/>
        <c:axId val="1495728303"/>
        <c:axId val="1495744527"/>
      </c:barChart>
      <c:lineChart>
        <c:grouping val="standard"/>
        <c:varyColors val="0"/>
        <c:ser>
          <c:idx val="5"/>
          <c:order val="5"/>
          <c:tx>
            <c:strRef>
              <c:f>[2]Lapas1!$B$85</c:f>
              <c:strCache>
                <c:ptCount val="1"/>
                <c:pt idx="0">
                  <c:v>Iš viso programų priemonių</c:v>
                </c:pt>
              </c:strCache>
            </c:strRef>
          </c:tx>
          <c:spPr>
            <a:ln w="34925" cap="rnd">
              <a:solidFill>
                <a:schemeClr val="accent6"/>
              </a:solidFill>
              <a:round/>
            </a:ln>
            <a:effectLst>
              <a:outerShdw blurRad="40000" dist="23000" dir="5400000" rotWithShape="0">
                <a:srgbClr val="000000">
                  <a:alpha val="35000"/>
                </a:srgbClr>
              </a:outerShdw>
            </a:effectLst>
          </c:spPr>
          <c:marker>
            <c:symbol val="circle"/>
            <c:size val="6"/>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w="9525">
                <a:solidFill>
                  <a:schemeClr val="accent6"/>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[2]Lapas1!$C$79:$D$79</c:f>
              <c:numCache>
                <c:formatCode>General</c:formatCode>
                <c:ptCount val="2"/>
                <c:pt idx="0">
                  <c:v>2021</c:v>
                </c:pt>
                <c:pt idx="1">
                  <c:v>2022</c:v>
                </c:pt>
              </c:numCache>
            </c:numRef>
          </c:cat>
          <c:val>
            <c:numRef>
              <c:f>[2]Lapas1!$C$85:$D$85</c:f>
              <c:numCache>
                <c:formatCode>General</c:formatCode>
                <c:ptCount val="2"/>
                <c:pt idx="0">
                  <c:v>22</c:v>
                </c:pt>
                <c:pt idx="1">
                  <c:v>36</c:v>
                </c:pt>
              </c:numCache>
            </c:numRef>
          </c:val>
          <c:smooth val="0"/>
          <c:extLst>
            <c:ext xmlns:c16="http://schemas.microsoft.com/office/drawing/2014/chart" uri="{C3380CC4-5D6E-409C-BE32-E72D297353CC}">
              <c16:uniqueId val="{00000005-E4B8-41D9-A746-68565C130AE7}"/>
            </c:ext>
          </c:extLst>
        </c:ser>
        <c:dLbls>
          <c:showLegendKey val="0"/>
          <c:showVal val="1"/>
          <c:showCatName val="0"/>
          <c:showSerName val="0"/>
          <c:showPercent val="0"/>
          <c:showBubbleSize val="0"/>
        </c:dLbls>
        <c:marker val="1"/>
        <c:smooth val="0"/>
        <c:axId val="1632945087"/>
        <c:axId val="1632942591"/>
      </c:lineChart>
      <c:catAx>
        <c:axId val="1495728303"/>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Metai</a:t>
                </a:r>
              </a:p>
            </c:rich>
          </c:tx>
          <c:layout>
            <c:manualLayout>
              <c:xMode val="edge"/>
              <c:yMode val="edge"/>
              <c:x val="0.48600648148148146"/>
              <c:y val="0.635211805555555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44527"/>
        <c:crosses val="autoZero"/>
        <c:auto val="1"/>
        <c:lblAlgn val="ctr"/>
        <c:lblOffset val="100"/>
        <c:noMultiLvlLbl val="0"/>
      </c:catAx>
      <c:valAx>
        <c:axId val="14957445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Progamų priemonių skaičius</a:t>
                </a:r>
              </a:p>
            </c:rich>
          </c:tx>
          <c:layout>
            <c:manualLayout>
              <c:xMode val="edge"/>
              <c:yMode val="edge"/>
              <c:x val="1.0191358024691358E-2"/>
              <c:y val="0.1577671266135769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495728303"/>
        <c:crosses val="autoZero"/>
        <c:crossBetween val="between"/>
      </c:valAx>
      <c:valAx>
        <c:axId val="1632942591"/>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r>
                  <a:rPr lang="lt-LT"/>
                  <a:t>Programų priemonių skaičius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crossAx val="1632945087"/>
        <c:crosses val="max"/>
        <c:crossBetween val="between"/>
      </c:valAx>
      <c:catAx>
        <c:axId val="1632945087"/>
        <c:scaling>
          <c:orientation val="minMax"/>
        </c:scaling>
        <c:delete val="1"/>
        <c:axPos val="b"/>
        <c:numFmt formatCode="General" sourceLinked="1"/>
        <c:majorTickMark val="none"/>
        <c:minorTickMark val="none"/>
        <c:tickLblPos val="nextTo"/>
        <c:crossAx val="1632942591"/>
        <c:crosses val="autoZero"/>
        <c:auto val="1"/>
        <c:lblAlgn val="ctr"/>
        <c:lblOffset val="100"/>
        <c:noMultiLvlLbl val="0"/>
      </c:catAx>
      <c:spPr>
        <a:solidFill>
          <a:schemeClr val="bg1">
            <a:lumMod val="95000"/>
          </a:schemeClr>
        </a:solidFill>
        <a:ln>
          <a:noFill/>
        </a:ln>
        <a:effectLst/>
      </c:spPr>
    </c:plotArea>
    <c:legend>
      <c:legendPos val="b"/>
      <c:layout>
        <c:manualLayout>
          <c:xMode val="edge"/>
          <c:yMode val="edge"/>
          <c:x val="3.0315034983233333E-2"/>
          <c:y val="0.73227668693312065"/>
          <c:w val="0.94125850416006784"/>
          <c:h val="0.25253343964915775"/>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t-LT"/>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baseline="0">
          <a:solidFill>
            <a:sysClr val="windowText" lastClr="000000"/>
          </a:solidFill>
          <a:latin typeface="Times New Roman" panose="02020603050405020304" pitchFamily="18" charset="0"/>
        </a:defRPr>
      </a:pPr>
      <a:endParaRPr lang="lt-L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03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10"/>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14D1-40B7-933E-6E41606DB160}"/>
              </c:ext>
            </c:extLst>
          </c:dPt>
          <c:dPt>
            <c:idx val="1"/>
            <c:bubble3D val="0"/>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14D1-40B7-933E-6E41606DB160}"/>
              </c:ext>
            </c:extLst>
          </c:dPt>
          <c:dPt>
            <c:idx val="2"/>
            <c:bubble3D val="0"/>
            <c:explosion val="8"/>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14D1-40B7-933E-6E41606DB160}"/>
              </c:ext>
            </c:extLst>
          </c:dPt>
          <c:dPt>
            <c:idx val="3"/>
            <c:bubble3D val="0"/>
            <c:explosion val="5"/>
            <c:spPr>
              <a:solidFill>
                <a:srgbClr val="C0E4F6"/>
              </a:solidFill>
              <a:ln w="25400">
                <a:solidFill>
                  <a:schemeClr val="accent5">
                    <a:lumMod val="40000"/>
                    <a:lumOff val="60000"/>
                  </a:schemeClr>
                </a:solidFill>
              </a:ln>
              <a:effectLst/>
              <a:sp3d contourW="25400">
                <a:contourClr>
                  <a:schemeClr val="accent5">
                    <a:lumMod val="40000"/>
                    <a:lumOff val="60000"/>
                  </a:schemeClr>
                </a:contourClr>
              </a:sp3d>
            </c:spPr>
            <c:extLst>
              <c:ext xmlns:c16="http://schemas.microsoft.com/office/drawing/2014/chart" uri="{C3380CC4-5D6E-409C-BE32-E72D297353CC}">
                <c16:uniqueId val="{00000007-14D1-40B7-933E-6E41606DB160}"/>
              </c:ext>
            </c:extLst>
          </c:dPt>
          <c:dPt>
            <c:idx val="4"/>
            <c:bubble3D val="0"/>
            <c:explosion val="5"/>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14D1-40B7-933E-6E41606DB160}"/>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Planas!$P$122:$P$126</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Planas!$Q$122:$Q$126</c:f>
              <c:numCache>
                <c:formatCode>General</c:formatCode>
                <c:ptCount val="5"/>
                <c:pt idx="0">
                  <c:v>4</c:v>
                </c:pt>
                <c:pt idx="2">
                  <c:v>5</c:v>
                </c:pt>
                <c:pt idx="3">
                  <c:v>4</c:v>
                </c:pt>
                <c:pt idx="4">
                  <c:v>5</c:v>
                </c:pt>
              </c:numCache>
            </c:numRef>
          </c:val>
          <c:extLst>
            <c:ext xmlns:c16="http://schemas.microsoft.com/office/drawing/2014/chart" uri="{C3380CC4-5D6E-409C-BE32-E72D297353CC}">
              <c16:uniqueId val="{0000000A-14D1-40B7-933E-6E41606DB160}"/>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04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7"/>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C23A-4889-84D3-ADBAA4AF86A1}"/>
              </c:ext>
            </c:extLst>
          </c:dPt>
          <c:dPt>
            <c:idx val="1"/>
            <c:bubble3D val="0"/>
            <c:explosion val="11"/>
            <c:spPr>
              <a:solidFill>
                <a:srgbClr val="FFFFCC"/>
              </a:solidFill>
              <a:ln w="25400">
                <a:solidFill>
                  <a:srgbClr val="FFFF00"/>
                </a:solidFill>
              </a:ln>
              <a:effectLst/>
              <a:sp3d contourW="25400">
                <a:contourClr>
                  <a:srgbClr val="FFFF00"/>
                </a:contourClr>
              </a:sp3d>
            </c:spPr>
            <c:extLst>
              <c:ext xmlns:c16="http://schemas.microsoft.com/office/drawing/2014/chart" uri="{C3380CC4-5D6E-409C-BE32-E72D297353CC}">
                <c16:uniqueId val="{00000003-C23A-4889-84D3-ADBAA4AF86A1}"/>
              </c:ext>
            </c:extLst>
          </c:dPt>
          <c:dPt>
            <c:idx val="2"/>
            <c:bubble3D val="0"/>
            <c:explosion val="13"/>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C23A-4889-84D3-ADBAA4AF86A1}"/>
              </c:ext>
            </c:extLst>
          </c:dPt>
          <c:dPt>
            <c:idx val="3"/>
            <c:bubble3D val="0"/>
            <c:explosion val="6"/>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C23A-4889-84D3-ADBAA4AF86A1}"/>
              </c:ext>
            </c:extLst>
          </c:dPt>
          <c:dPt>
            <c:idx val="4"/>
            <c:bubble3D val="0"/>
            <c:explosion val="7"/>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C23A-4889-84D3-ADBAA4AF86A1}"/>
              </c:ext>
            </c:extLst>
          </c:dPt>
          <c:dLbls>
            <c:dLbl>
              <c:idx val="1"/>
              <c:layout>
                <c:manualLayout>
                  <c:x val="-8.8419855593888014E-2"/>
                  <c:y val="-0.1022443293942841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23A-4889-84D3-ADBAA4AF86A1}"/>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Planas!$P$176:$P$180</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Planas!$Q$176:$Q$180</c:f>
              <c:numCache>
                <c:formatCode>General</c:formatCode>
                <c:ptCount val="5"/>
                <c:pt idx="0">
                  <c:v>6</c:v>
                </c:pt>
                <c:pt idx="1">
                  <c:v>1</c:v>
                </c:pt>
                <c:pt idx="2">
                  <c:v>7</c:v>
                </c:pt>
                <c:pt idx="3">
                  <c:v>3</c:v>
                </c:pt>
                <c:pt idx="4">
                  <c:v>4</c:v>
                </c:pt>
              </c:numCache>
            </c:numRef>
          </c:val>
          <c:extLst>
            <c:ext xmlns:c16="http://schemas.microsoft.com/office/drawing/2014/chart" uri="{C3380CC4-5D6E-409C-BE32-E72D297353CC}">
              <c16:uniqueId val="{0000000A-C23A-4889-84D3-ADBAA4AF86A1}"/>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05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6"/>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D500-4CE7-8643-B44D8751BFAA}"/>
              </c:ext>
            </c:extLst>
          </c:dPt>
          <c:dPt>
            <c:idx val="1"/>
            <c:bubble3D val="0"/>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D500-4CE7-8643-B44D8751BFAA}"/>
              </c:ext>
            </c:extLst>
          </c:dPt>
          <c:dPt>
            <c:idx val="2"/>
            <c:bubble3D val="0"/>
            <c:explosion val="6"/>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D500-4CE7-8643-B44D8751BFAA}"/>
              </c:ext>
            </c:extLst>
          </c:dPt>
          <c:dPt>
            <c:idx val="3"/>
            <c:bubble3D val="0"/>
            <c:explosion val="9"/>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D500-4CE7-8643-B44D8751BFAA}"/>
              </c:ext>
            </c:extLst>
          </c:dPt>
          <c:dPt>
            <c:idx val="4"/>
            <c:bubble3D val="0"/>
            <c:explosion val="10"/>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D500-4CE7-8643-B44D8751BFAA}"/>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Planas!$P$325:$P$329</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Planas!$Q$325:$Q$329</c:f>
              <c:numCache>
                <c:formatCode>General</c:formatCode>
                <c:ptCount val="5"/>
                <c:pt idx="0">
                  <c:v>6</c:v>
                </c:pt>
                <c:pt idx="2">
                  <c:v>1</c:v>
                </c:pt>
                <c:pt idx="3">
                  <c:v>1</c:v>
                </c:pt>
                <c:pt idx="4">
                  <c:v>1</c:v>
                </c:pt>
              </c:numCache>
            </c:numRef>
          </c:val>
          <c:extLst>
            <c:ext xmlns:c16="http://schemas.microsoft.com/office/drawing/2014/chart" uri="{C3380CC4-5D6E-409C-BE32-E72D297353CC}">
              <c16:uniqueId val="{0000000A-D500-4CE7-8643-B44D8751BFAA}"/>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06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7"/>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6B84-42E0-B9CF-40A644BB378F}"/>
              </c:ext>
            </c:extLst>
          </c:dPt>
          <c:dPt>
            <c:idx val="1"/>
            <c:bubble3D val="0"/>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6B84-42E0-B9CF-40A644BB378F}"/>
              </c:ext>
            </c:extLst>
          </c:dPt>
          <c:dPt>
            <c:idx val="2"/>
            <c:bubble3D val="0"/>
            <c:explosion val="5"/>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6B84-42E0-B9CF-40A644BB378F}"/>
              </c:ext>
            </c:extLst>
          </c:dPt>
          <c:dPt>
            <c:idx val="3"/>
            <c:bubble3D val="0"/>
            <c:explosion val="10"/>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6B84-42E0-B9CF-40A644BB378F}"/>
              </c:ext>
            </c:extLst>
          </c:dPt>
          <c:dPt>
            <c:idx val="4"/>
            <c:bubble3D val="0"/>
            <c:explosion val="7"/>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6B84-42E0-B9CF-40A644BB378F}"/>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Planas!$P$381:$P$385</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Planas!$Q$381:$Q$385</c:f>
              <c:numCache>
                <c:formatCode>General</c:formatCode>
                <c:ptCount val="5"/>
                <c:pt idx="0">
                  <c:v>10</c:v>
                </c:pt>
                <c:pt idx="2">
                  <c:v>2</c:v>
                </c:pt>
                <c:pt idx="3">
                  <c:v>1</c:v>
                </c:pt>
                <c:pt idx="4">
                  <c:v>1</c:v>
                </c:pt>
              </c:numCache>
            </c:numRef>
          </c:val>
          <c:extLst>
            <c:ext xmlns:c16="http://schemas.microsoft.com/office/drawing/2014/chart" uri="{C3380CC4-5D6E-409C-BE32-E72D297353CC}">
              <c16:uniqueId val="{0000000A-6B84-42E0-B9CF-40A644BB378F}"/>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07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7"/>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3262-443E-B36B-A5F1B31093C2}"/>
              </c:ext>
            </c:extLst>
          </c:dPt>
          <c:dPt>
            <c:idx val="1"/>
            <c:bubble3D val="0"/>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3262-443E-B36B-A5F1B31093C2}"/>
              </c:ext>
            </c:extLst>
          </c:dPt>
          <c:dPt>
            <c:idx val="2"/>
            <c:bubble3D val="0"/>
            <c:explosion val="10"/>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3262-443E-B36B-A5F1B31093C2}"/>
              </c:ext>
            </c:extLst>
          </c:dPt>
          <c:dPt>
            <c:idx val="3"/>
            <c:bubble3D val="0"/>
            <c:explosion val="5"/>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3262-443E-B36B-A5F1B31093C2}"/>
              </c:ext>
            </c:extLst>
          </c:dPt>
          <c:dPt>
            <c:idx val="4"/>
            <c:bubble3D val="0"/>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3262-443E-B36B-A5F1B31093C2}"/>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Planas!$P$407:$P$411</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Planas!$Q$407:$Q$411</c:f>
              <c:numCache>
                <c:formatCode>General</c:formatCode>
                <c:ptCount val="5"/>
                <c:pt idx="0">
                  <c:v>5</c:v>
                </c:pt>
                <c:pt idx="2">
                  <c:v>2</c:v>
                </c:pt>
                <c:pt idx="3">
                  <c:v>5</c:v>
                </c:pt>
              </c:numCache>
            </c:numRef>
          </c:val>
          <c:extLst>
            <c:ext xmlns:c16="http://schemas.microsoft.com/office/drawing/2014/chart" uri="{C3380CC4-5D6E-409C-BE32-E72D297353CC}">
              <c16:uniqueId val="{0000000A-3262-443E-B36B-A5F1B31093C2}"/>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08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8"/>
            <c:spPr>
              <a:solidFill>
                <a:srgbClr val="E2EFDA"/>
              </a:solidFill>
              <a:ln w="25400">
                <a:solidFill>
                  <a:schemeClr val="accent3">
                    <a:lumMod val="60000"/>
                    <a:lumOff val="40000"/>
                  </a:schemeClr>
                </a:solidFill>
              </a:ln>
              <a:effectLst/>
              <a:sp3d contourW="25400">
                <a:contourClr>
                  <a:schemeClr val="accent3">
                    <a:lumMod val="60000"/>
                    <a:lumOff val="40000"/>
                  </a:schemeClr>
                </a:contourClr>
              </a:sp3d>
            </c:spPr>
            <c:extLst>
              <c:ext xmlns:c16="http://schemas.microsoft.com/office/drawing/2014/chart" uri="{C3380CC4-5D6E-409C-BE32-E72D297353CC}">
                <c16:uniqueId val="{00000001-4393-4D54-A459-4FE0A0BB6061}"/>
              </c:ext>
            </c:extLst>
          </c:dPt>
          <c:dPt>
            <c:idx val="1"/>
            <c:bubble3D val="0"/>
            <c:explosion val="9"/>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4393-4D54-A459-4FE0A0BB6061}"/>
              </c:ext>
            </c:extLst>
          </c:dPt>
          <c:dPt>
            <c:idx val="2"/>
            <c:bubble3D val="0"/>
            <c:explosion val="7"/>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4393-4D54-A459-4FE0A0BB6061}"/>
              </c:ext>
            </c:extLst>
          </c:dPt>
          <c:dPt>
            <c:idx val="3"/>
            <c:bubble3D val="0"/>
            <c:explosion val="6"/>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4393-4D54-A459-4FE0A0BB6061}"/>
              </c:ext>
            </c:extLst>
          </c:dPt>
          <c:dPt>
            <c:idx val="4"/>
            <c:bubble3D val="0"/>
            <c:explosion val="9"/>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4393-4D54-A459-4FE0A0BB6061}"/>
              </c:ext>
            </c:extLst>
          </c:dPt>
          <c:dLbls>
            <c:dLbl>
              <c:idx val="1"/>
              <c:layout>
                <c:manualLayout>
                  <c:x val="-5.2954633974385046E-2"/>
                  <c:y val="-0.19391002978915767"/>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393-4D54-A459-4FE0A0BB6061}"/>
                </c:ext>
              </c:extLst>
            </c:dLbl>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Planas!$P$455:$P$459</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Planas!$Q$455:$Q$459</c:f>
              <c:numCache>
                <c:formatCode>General</c:formatCode>
                <c:ptCount val="5"/>
                <c:pt idx="0">
                  <c:v>16</c:v>
                </c:pt>
                <c:pt idx="2">
                  <c:v>10</c:v>
                </c:pt>
                <c:pt idx="3">
                  <c:v>6</c:v>
                </c:pt>
                <c:pt idx="4">
                  <c:v>4</c:v>
                </c:pt>
              </c:numCache>
            </c:numRef>
          </c:val>
          <c:extLst>
            <c:ext xmlns:c16="http://schemas.microsoft.com/office/drawing/2014/chart" uri="{C3380CC4-5D6E-409C-BE32-E72D297353CC}">
              <c16:uniqueId val="{0000000A-4393-4D54-A459-4FE0A0BB6061}"/>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r>
              <a:rPr lang="lt-LT" b="1"/>
              <a:t>09 programos vykdymas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Times New Roman" panose="02020603050405020304" pitchFamily="18" charset="0"/>
              <a:ea typeface="+mn-ea"/>
              <a:cs typeface="Times New Roman" panose="02020603050405020304" pitchFamily="18" charset="0"/>
            </a:defRPr>
          </a:pPr>
          <a:endParaRPr lang="lt-LT"/>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205849268841407E-2"/>
          <c:y val="0.11234218289860999"/>
          <c:w val="0.91860367454068237"/>
          <c:h val="0.55242329989502059"/>
        </c:manualLayout>
      </c:layout>
      <c:pie3DChart>
        <c:varyColors val="1"/>
        <c:ser>
          <c:idx val="0"/>
          <c:order val="0"/>
          <c:dPt>
            <c:idx val="0"/>
            <c:bubble3D val="0"/>
            <c:explosion val="10"/>
            <c:spPr>
              <a:solidFill>
                <a:srgbClr val="E2EFDA"/>
              </a:solidFill>
              <a:ln w="25400">
                <a:solidFill>
                  <a:schemeClr val="accent3">
                    <a:lumMod val="40000"/>
                    <a:lumOff val="60000"/>
                  </a:schemeClr>
                </a:solidFill>
              </a:ln>
              <a:effectLst/>
              <a:sp3d contourW="25400">
                <a:contourClr>
                  <a:schemeClr val="accent3">
                    <a:lumMod val="40000"/>
                    <a:lumOff val="60000"/>
                  </a:schemeClr>
                </a:contourClr>
              </a:sp3d>
            </c:spPr>
            <c:extLst>
              <c:ext xmlns:c16="http://schemas.microsoft.com/office/drawing/2014/chart" uri="{C3380CC4-5D6E-409C-BE32-E72D297353CC}">
                <c16:uniqueId val="{00000001-3B71-47DC-A0A5-18F8CCE78F93}"/>
              </c:ext>
            </c:extLst>
          </c:dPt>
          <c:dPt>
            <c:idx val="1"/>
            <c:bubble3D val="0"/>
            <c:explosion val="7"/>
            <c:spPr>
              <a:solidFill>
                <a:srgbClr val="FFFFCC"/>
              </a:solidFill>
              <a:ln w="25400">
                <a:solidFill>
                  <a:srgbClr val="FFFF99"/>
                </a:solidFill>
              </a:ln>
              <a:effectLst/>
              <a:sp3d contourW="25400">
                <a:contourClr>
                  <a:srgbClr val="FFFF99"/>
                </a:contourClr>
              </a:sp3d>
            </c:spPr>
            <c:extLst>
              <c:ext xmlns:c16="http://schemas.microsoft.com/office/drawing/2014/chart" uri="{C3380CC4-5D6E-409C-BE32-E72D297353CC}">
                <c16:uniqueId val="{00000003-3B71-47DC-A0A5-18F8CCE78F93}"/>
              </c:ext>
            </c:extLst>
          </c:dPt>
          <c:dPt>
            <c:idx val="2"/>
            <c:bubble3D val="0"/>
            <c:explosion val="17"/>
            <c:spPr>
              <a:solidFill>
                <a:srgbClr val="FFC000"/>
              </a:solidFill>
              <a:ln w="25400">
                <a:solidFill>
                  <a:srgbClr val="FFC000"/>
                </a:solidFill>
              </a:ln>
              <a:effectLst/>
              <a:sp3d contourW="25400">
                <a:contourClr>
                  <a:srgbClr val="FFC000"/>
                </a:contourClr>
              </a:sp3d>
            </c:spPr>
            <c:extLst>
              <c:ext xmlns:c16="http://schemas.microsoft.com/office/drawing/2014/chart" uri="{C3380CC4-5D6E-409C-BE32-E72D297353CC}">
                <c16:uniqueId val="{00000005-3B71-47DC-A0A5-18F8CCE78F93}"/>
              </c:ext>
            </c:extLst>
          </c:dPt>
          <c:dPt>
            <c:idx val="3"/>
            <c:bubble3D val="0"/>
            <c:explosion val="6"/>
            <c:spPr>
              <a:solidFill>
                <a:srgbClr val="C0E4F6"/>
              </a:solidFill>
              <a:ln w="25400">
                <a:solidFill>
                  <a:schemeClr val="accent1">
                    <a:lumMod val="40000"/>
                    <a:lumOff val="60000"/>
                  </a:schemeClr>
                </a:solidFill>
              </a:ln>
              <a:effectLst/>
              <a:sp3d contourW="25400">
                <a:contourClr>
                  <a:schemeClr val="accent1">
                    <a:lumMod val="40000"/>
                    <a:lumOff val="60000"/>
                  </a:schemeClr>
                </a:contourClr>
              </a:sp3d>
            </c:spPr>
            <c:extLst>
              <c:ext xmlns:c16="http://schemas.microsoft.com/office/drawing/2014/chart" uri="{C3380CC4-5D6E-409C-BE32-E72D297353CC}">
                <c16:uniqueId val="{00000007-3B71-47DC-A0A5-18F8CCE78F93}"/>
              </c:ext>
            </c:extLst>
          </c:dPt>
          <c:dPt>
            <c:idx val="4"/>
            <c:bubble3D val="0"/>
            <c:explosion val="6"/>
            <c:spPr>
              <a:solidFill>
                <a:srgbClr val="FCE4D6"/>
              </a:solidFill>
              <a:ln w="25400">
                <a:solidFill>
                  <a:schemeClr val="accent6">
                    <a:lumMod val="40000"/>
                    <a:lumOff val="60000"/>
                  </a:schemeClr>
                </a:solidFill>
              </a:ln>
              <a:effectLst/>
              <a:sp3d contourW="25400">
                <a:contourClr>
                  <a:schemeClr val="accent6">
                    <a:lumMod val="40000"/>
                    <a:lumOff val="60000"/>
                  </a:schemeClr>
                </a:contourClr>
              </a:sp3d>
            </c:spPr>
            <c:extLst>
              <c:ext xmlns:c16="http://schemas.microsoft.com/office/drawing/2014/chart" uri="{C3380CC4-5D6E-409C-BE32-E72D297353CC}">
                <c16:uniqueId val="{00000009-3B71-47DC-A0A5-18F8CCE78F93}"/>
              </c:ext>
            </c:extLst>
          </c:dPt>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Planas!$P$601:$P$605</c:f>
              <c:strCache>
                <c:ptCount val="5"/>
                <c:pt idx="0">
                  <c:v>Priemonė buvo įvykdyta pagal planą</c:v>
                </c:pt>
                <c:pt idx="1">
                  <c:v>Vykdant priemonę buvo pasiekta vertinimo kriterijų reikšmių mažiau nei 50 %</c:v>
                </c:pt>
                <c:pt idx="2">
                  <c:v>Vykdant priemonę buvo pasiekta vertinimo kriterijų reikšmių 50 % ir daugiau</c:v>
                </c:pt>
                <c:pt idx="3">
                  <c:v>Vykdant priemonę buvo pasiekta daugiau vertinimo kriterijų reikšmių nei planuota</c:v>
                </c:pt>
                <c:pt idx="4">
                  <c:v>Priemonė neįvykdyta, t.y. nepasiekta planuota vertinimo kriterijų reikšmė</c:v>
                </c:pt>
              </c:strCache>
            </c:strRef>
          </c:cat>
          <c:val>
            <c:numRef>
              <c:f>Planas!$Q$601:$Q$605</c:f>
              <c:numCache>
                <c:formatCode>General</c:formatCode>
                <c:ptCount val="5"/>
                <c:pt idx="0">
                  <c:v>4</c:v>
                </c:pt>
                <c:pt idx="1">
                  <c:v>2</c:v>
                </c:pt>
                <c:pt idx="2">
                  <c:v>5</c:v>
                </c:pt>
                <c:pt idx="3">
                  <c:v>4</c:v>
                </c:pt>
                <c:pt idx="4">
                  <c:v>2</c:v>
                </c:pt>
              </c:numCache>
            </c:numRef>
          </c:val>
          <c:extLst>
            <c:ext xmlns:c16="http://schemas.microsoft.com/office/drawing/2014/chart" uri="{C3380CC4-5D6E-409C-BE32-E72D297353CC}">
              <c16:uniqueId val="{0000000A-3B71-47DC-A0A5-18F8CCE78F93}"/>
            </c:ext>
          </c:extLst>
        </c:ser>
        <c:dLbls>
          <c:showLegendKey val="0"/>
          <c:showVal val="0"/>
          <c:showCatName val="0"/>
          <c:showSerName val="0"/>
          <c:showPercent val="0"/>
          <c:showBubbleSize val="0"/>
          <c:showLeaderLines val="1"/>
        </c:dLbls>
      </c:pie3DChart>
      <c:spPr>
        <a:solidFill>
          <a:schemeClr val="bg1">
            <a:lumMod val="95000"/>
          </a:schemeClr>
        </a:solidFill>
        <a:ln>
          <a:noFill/>
        </a:ln>
        <a:effectLst/>
      </c:spPr>
    </c:plotArea>
    <c:legend>
      <c:legendPos val="b"/>
      <c:layout>
        <c:manualLayout>
          <c:xMode val="edge"/>
          <c:yMode val="edge"/>
          <c:x val="3.0354069287155845E-2"/>
          <c:y val="0.72211177699542395"/>
          <c:w val="0.94858801016406813"/>
          <c:h val="0.26536866324618713"/>
        </c:manualLayout>
      </c:layout>
      <c:overlay val="0"/>
      <c:spPr>
        <a:solidFill>
          <a:schemeClr val="bg1">
            <a:lumMod val="95000"/>
          </a:schemeClr>
        </a:solidFill>
        <a:ln>
          <a:noFill/>
        </a:ln>
        <a:effectLst/>
      </c:spPr>
      <c:txPr>
        <a:bodyPr rot="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lt-LT"/>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200">
          <a:solidFill>
            <a:schemeClr val="tx1"/>
          </a:solidFill>
          <a:latin typeface="Times New Roman" panose="02020603050405020304" pitchFamily="18" charset="0"/>
          <a:cs typeface="Times New Roman" panose="02020603050405020304" pitchFamily="18" charset="0"/>
        </a:defRPr>
      </a:pPr>
      <a:endParaRPr lang="lt-L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14</xdr:col>
      <xdr:colOff>31750</xdr:colOff>
      <xdr:row>17</xdr:row>
      <xdr:rowOff>317497</xdr:rowOff>
    </xdr:from>
    <xdr:to>
      <xdr:col>16</xdr:col>
      <xdr:colOff>1855084</xdr:colOff>
      <xdr:row>21</xdr:row>
      <xdr:rowOff>446497</xdr:rowOff>
    </xdr:to>
    <xdr:graphicFrame macro="">
      <xdr:nvGraphicFramePr>
        <xdr:cNvPr id="2" name="Diagrama 1">
          <a:extLst>
            <a:ext uri="{FF2B5EF4-FFF2-40B4-BE49-F238E27FC236}">
              <a16:creationId xmlns:a16="http://schemas.microsoft.com/office/drawing/2014/main" id="{E6194221-33D9-8284-008B-7A5346EFFA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53</xdr:row>
      <xdr:rowOff>685800</xdr:rowOff>
    </xdr:from>
    <xdr:to>
      <xdr:col>16</xdr:col>
      <xdr:colOff>1823334</xdr:colOff>
      <xdr:row>54</xdr:row>
      <xdr:rowOff>3205575</xdr:rowOff>
    </xdr:to>
    <xdr:graphicFrame macro="">
      <xdr:nvGraphicFramePr>
        <xdr:cNvPr id="3" name="Diagrama 2">
          <a:extLst>
            <a:ext uri="{FF2B5EF4-FFF2-40B4-BE49-F238E27FC236}">
              <a16:creationId xmlns:a16="http://schemas.microsoft.com/office/drawing/2014/main" id="{0F39C23D-1AF8-4CF5-AAF9-C30CB60277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1111249</xdr:colOff>
      <xdr:row>127</xdr:row>
      <xdr:rowOff>603251</xdr:rowOff>
    </xdr:from>
    <xdr:to>
      <xdr:col>16</xdr:col>
      <xdr:colOff>1889124</xdr:colOff>
      <xdr:row>132</xdr:row>
      <xdr:rowOff>746125</xdr:rowOff>
    </xdr:to>
    <xdr:graphicFrame macro="">
      <xdr:nvGraphicFramePr>
        <xdr:cNvPr id="4" name="Diagrama 3">
          <a:extLst>
            <a:ext uri="{FF2B5EF4-FFF2-40B4-BE49-F238E27FC236}">
              <a16:creationId xmlns:a16="http://schemas.microsoft.com/office/drawing/2014/main" id="{69FA7743-A017-4F19-A7DF-9700668A15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182</xdr:row>
      <xdr:rowOff>0</xdr:rowOff>
    </xdr:from>
    <xdr:to>
      <xdr:col>16</xdr:col>
      <xdr:colOff>1823334</xdr:colOff>
      <xdr:row>188</xdr:row>
      <xdr:rowOff>433800</xdr:rowOff>
    </xdr:to>
    <xdr:graphicFrame macro="">
      <xdr:nvGraphicFramePr>
        <xdr:cNvPr id="5" name="Diagrama 4">
          <a:extLst>
            <a:ext uri="{FF2B5EF4-FFF2-40B4-BE49-F238E27FC236}">
              <a16:creationId xmlns:a16="http://schemas.microsoft.com/office/drawing/2014/main" id="{74EABC6E-9DC1-4B38-80E0-65CF1F1F28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330</xdr:row>
      <xdr:rowOff>400050</xdr:rowOff>
    </xdr:from>
    <xdr:to>
      <xdr:col>16</xdr:col>
      <xdr:colOff>1823334</xdr:colOff>
      <xdr:row>332</xdr:row>
      <xdr:rowOff>148050</xdr:rowOff>
    </xdr:to>
    <xdr:graphicFrame macro="">
      <xdr:nvGraphicFramePr>
        <xdr:cNvPr id="6" name="Diagrama 5">
          <a:extLst>
            <a:ext uri="{FF2B5EF4-FFF2-40B4-BE49-F238E27FC236}">
              <a16:creationId xmlns:a16="http://schemas.microsoft.com/office/drawing/2014/main" id="{54B797C4-A740-46ED-B862-788A3E64D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38100</xdr:colOff>
      <xdr:row>386</xdr:row>
      <xdr:rowOff>361950</xdr:rowOff>
    </xdr:from>
    <xdr:to>
      <xdr:col>16</xdr:col>
      <xdr:colOff>1861434</xdr:colOff>
      <xdr:row>388</xdr:row>
      <xdr:rowOff>1405350</xdr:rowOff>
    </xdr:to>
    <xdr:graphicFrame macro="">
      <xdr:nvGraphicFramePr>
        <xdr:cNvPr id="7" name="Diagrama 6">
          <a:extLst>
            <a:ext uri="{FF2B5EF4-FFF2-40B4-BE49-F238E27FC236}">
              <a16:creationId xmlns:a16="http://schemas.microsoft.com/office/drawing/2014/main" id="{6AAEACCE-13ED-4D26-A53F-4A4DEDF9AF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19050</xdr:colOff>
      <xdr:row>412</xdr:row>
      <xdr:rowOff>552450</xdr:rowOff>
    </xdr:from>
    <xdr:to>
      <xdr:col>16</xdr:col>
      <xdr:colOff>1842384</xdr:colOff>
      <xdr:row>417</xdr:row>
      <xdr:rowOff>90900</xdr:rowOff>
    </xdr:to>
    <xdr:graphicFrame macro="">
      <xdr:nvGraphicFramePr>
        <xdr:cNvPr id="8" name="Diagrama 7">
          <a:extLst>
            <a:ext uri="{FF2B5EF4-FFF2-40B4-BE49-F238E27FC236}">
              <a16:creationId xmlns:a16="http://schemas.microsoft.com/office/drawing/2014/main" id="{A10F41E2-3E37-496C-A25F-6C6890902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0</xdr:colOff>
      <xdr:row>461</xdr:row>
      <xdr:rowOff>0</xdr:rowOff>
    </xdr:from>
    <xdr:to>
      <xdr:col>16</xdr:col>
      <xdr:colOff>1823334</xdr:colOff>
      <xdr:row>465</xdr:row>
      <xdr:rowOff>281400</xdr:rowOff>
    </xdr:to>
    <xdr:graphicFrame macro="">
      <xdr:nvGraphicFramePr>
        <xdr:cNvPr id="9" name="Diagrama 8">
          <a:extLst>
            <a:ext uri="{FF2B5EF4-FFF2-40B4-BE49-F238E27FC236}">
              <a16:creationId xmlns:a16="http://schemas.microsoft.com/office/drawing/2014/main" id="{4F276871-51C2-463E-BE8D-5FC3206F9B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22225</xdr:colOff>
      <xdr:row>606</xdr:row>
      <xdr:rowOff>454024</xdr:rowOff>
    </xdr:from>
    <xdr:to>
      <xdr:col>16</xdr:col>
      <xdr:colOff>1851909</xdr:colOff>
      <xdr:row>613</xdr:row>
      <xdr:rowOff>1143000</xdr:rowOff>
    </xdr:to>
    <xdr:graphicFrame macro="">
      <xdr:nvGraphicFramePr>
        <xdr:cNvPr id="10" name="Diagrama 9">
          <a:extLst>
            <a:ext uri="{FF2B5EF4-FFF2-40B4-BE49-F238E27FC236}">
              <a16:creationId xmlns:a16="http://schemas.microsoft.com/office/drawing/2014/main" id="{025E4B8F-88DC-421B-B130-F82870523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14</xdr:col>
      <xdr:colOff>0</xdr:colOff>
      <xdr:row>669</xdr:row>
      <xdr:rowOff>0</xdr:rowOff>
    </xdr:from>
    <xdr:to>
      <xdr:col>16</xdr:col>
      <xdr:colOff>1823334</xdr:colOff>
      <xdr:row>673</xdr:row>
      <xdr:rowOff>471900</xdr:rowOff>
    </xdr:to>
    <xdr:graphicFrame macro="">
      <xdr:nvGraphicFramePr>
        <xdr:cNvPr id="11" name="Diagrama 10">
          <a:extLst>
            <a:ext uri="{FF2B5EF4-FFF2-40B4-BE49-F238E27FC236}">
              <a16:creationId xmlns:a16="http://schemas.microsoft.com/office/drawing/2014/main" id="{4581B653-C9DA-4DA2-B94E-8BF20B1DD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14</xdr:col>
      <xdr:colOff>19050</xdr:colOff>
      <xdr:row>812</xdr:row>
      <xdr:rowOff>361950</xdr:rowOff>
    </xdr:from>
    <xdr:to>
      <xdr:col>16</xdr:col>
      <xdr:colOff>1842384</xdr:colOff>
      <xdr:row>813</xdr:row>
      <xdr:rowOff>2967450</xdr:rowOff>
    </xdr:to>
    <xdr:graphicFrame macro="">
      <xdr:nvGraphicFramePr>
        <xdr:cNvPr id="12" name="Diagrama 11">
          <a:extLst>
            <a:ext uri="{FF2B5EF4-FFF2-40B4-BE49-F238E27FC236}">
              <a16:creationId xmlns:a16="http://schemas.microsoft.com/office/drawing/2014/main" id="{79C4209A-8CB4-4EBB-AB82-976841D08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0</xdr:colOff>
      <xdr:row>22</xdr:row>
      <xdr:rowOff>0</xdr:rowOff>
    </xdr:from>
    <xdr:to>
      <xdr:col>16</xdr:col>
      <xdr:colOff>1825625</xdr:colOff>
      <xdr:row>26</xdr:row>
      <xdr:rowOff>158750</xdr:rowOff>
    </xdr:to>
    <xdr:graphicFrame macro="">
      <xdr:nvGraphicFramePr>
        <xdr:cNvPr id="16" name="Diagrama 15">
          <a:extLst>
            <a:ext uri="{FF2B5EF4-FFF2-40B4-BE49-F238E27FC236}">
              <a16:creationId xmlns:a16="http://schemas.microsoft.com/office/drawing/2014/main" id="{64824E7D-3B90-4C11-B01E-0011FC326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14</xdr:col>
      <xdr:colOff>15874</xdr:colOff>
      <xdr:row>133</xdr:row>
      <xdr:rowOff>158750</xdr:rowOff>
    </xdr:from>
    <xdr:to>
      <xdr:col>16</xdr:col>
      <xdr:colOff>1904999</xdr:colOff>
      <xdr:row>137</xdr:row>
      <xdr:rowOff>63500</xdr:rowOff>
    </xdr:to>
    <xdr:graphicFrame macro="">
      <xdr:nvGraphicFramePr>
        <xdr:cNvPr id="19" name="Diagrama 18">
          <a:extLst>
            <a:ext uri="{FF2B5EF4-FFF2-40B4-BE49-F238E27FC236}">
              <a16:creationId xmlns:a16="http://schemas.microsoft.com/office/drawing/2014/main" id="{421136E6-8148-4780-A6DF-DF1F83B93F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14</xdr:col>
      <xdr:colOff>15875</xdr:colOff>
      <xdr:row>189</xdr:row>
      <xdr:rowOff>222250</xdr:rowOff>
    </xdr:from>
    <xdr:to>
      <xdr:col>16</xdr:col>
      <xdr:colOff>1828625</xdr:colOff>
      <xdr:row>200</xdr:row>
      <xdr:rowOff>689727</xdr:rowOff>
    </xdr:to>
    <xdr:graphicFrame macro="">
      <xdr:nvGraphicFramePr>
        <xdr:cNvPr id="20" name="Diagrama 19">
          <a:extLst>
            <a:ext uri="{FF2B5EF4-FFF2-40B4-BE49-F238E27FC236}">
              <a16:creationId xmlns:a16="http://schemas.microsoft.com/office/drawing/2014/main" id="{9210FCFF-E86C-4165-9CA9-7CBB7EC1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1103312</xdr:colOff>
      <xdr:row>332</xdr:row>
      <xdr:rowOff>789781</xdr:rowOff>
    </xdr:from>
    <xdr:to>
      <xdr:col>16</xdr:col>
      <xdr:colOff>1873249</xdr:colOff>
      <xdr:row>335</xdr:row>
      <xdr:rowOff>15874</xdr:rowOff>
    </xdr:to>
    <xdr:graphicFrame macro="">
      <xdr:nvGraphicFramePr>
        <xdr:cNvPr id="21" name="Diagrama 20">
          <a:extLst>
            <a:ext uri="{FF2B5EF4-FFF2-40B4-BE49-F238E27FC236}">
              <a16:creationId xmlns:a16="http://schemas.microsoft.com/office/drawing/2014/main" id="{15ABFAC2-FCE8-40F9-84B8-09966DFF0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0</xdr:colOff>
      <xdr:row>390</xdr:row>
      <xdr:rowOff>174625</xdr:rowOff>
    </xdr:from>
    <xdr:to>
      <xdr:col>16</xdr:col>
      <xdr:colOff>1905000</xdr:colOff>
      <xdr:row>394</xdr:row>
      <xdr:rowOff>539750</xdr:rowOff>
    </xdr:to>
    <xdr:graphicFrame macro="">
      <xdr:nvGraphicFramePr>
        <xdr:cNvPr id="22" name="Diagrama 21">
          <a:extLst>
            <a:ext uri="{FF2B5EF4-FFF2-40B4-BE49-F238E27FC236}">
              <a16:creationId xmlns:a16="http://schemas.microsoft.com/office/drawing/2014/main" id="{ECAAE26D-55A3-49D4-84FA-E80EA5C75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7937</xdr:colOff>
      <xdr:row>417</xdr:row>
      <xdr:rowOff>785812</xdr:rowOff>
    </xdr:from>
    <xdr:to>
      <xdr:col>16</xdr:col>
      <xdr:colOff>1820687</xdr:colOff>
      <xdr:row>418</xdr:row>
      <xdr:rowOff>94414</xdr:rowOff>
    </xdr:to>
    <xdr:graphicFrame macro="">
      <xdr:nvGraphicFramePr>
        <xdr:cNvPr id="23" name="Diagrama 22">
          <a:extLst>
            <a:ext uri="{FF2B5EF4-FFF2-40B4-BE49-F238E27FC236}">
              <a16:creationId xmlns:a16="http://schemas.microsoft.com/office/drawing/2014/main" id="{1DBD91D0-76C1-4136-8710-552A0632AF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31750</xdr:colOff>
      <xdr:row>614</xdr:row>
      <xdr:rowOff>174625</xdr:rowOff>
    </xdr:from>
    <xdr:to>
      <xdr:col>16</xdr:col>
      <xdr:colOff>1844500</xdr:colOff>
      <xdr:row>624</xdr:row>
      <xdr:rowOff>66634</xdr:rowOff>
    </xdr:to>
    <xdr:graphicFrame macro="">
      <xdr:nvGraphicFramePr>
        <xdr:cNvPr id="25" name="Diagrama 24">
          <a:extLst>
            <a:ext uri="{FF2B5EF4-FFF2-40B4-BE49-F238E27FC236}">
              <a16:creationId xmlns:a16="http://schemas.microsoft.com/office/drawing/2014/main" id="{1D4E0060-6B83-4E9A-8696-668D054694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14</xdr:col>
      <xdr:colOff>13607</xdr:colOff>
      <xdr:row>673</xdr:row>
      <xdr:rowOff>1054553</xdr:rowOff>
    </xdr:from>
    <xdr:to>
      <xdr:col>16</xdr:col>
      <xdr:colOff>1826357</xdr:colOff>
      <xdr:row>677</xdr:row>
      <xdr:rowOff>3466151</xdr:rowOff>
    </xdr:to>
    <xdr:graphicFrame macro="">
      <xdr:nvGraphicFramePr>
        <xdr:cNvPr id="26" name="Diagrama 25">
          <a:extLst>
            <a:ext uri="{FF2B5EF4-FFF2-40B4-BE49-F238E27FC236}">
              <a16:creationId xmlns:a16="http://schemas.microsoft.com/office/drawing/2014/main" id="{1A80F016-85B2-40AE-996B-151363326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1101725</xdr:colOff>
      <xdr:row>813</xdr:row>
      <xdr:rowOff>3381373</xdr:rowOff>
    </xdr:from>
    <xdr:to>
      <xdr:col>16</xdr:col>
      <xdr:colOff>1873250</xdr:colOff>
      <xdr:row>823</xdr:row>
      <xdr:rowOff>0</xdr:rowOff>
    </xdr:to>
    <xdr:graphicFrame macro="">
      <xdr:nvGraphicFramePr>
        <xdr:cNvPr id="27" name="Diagrama 26">
          <a:extLst>
            <a:ext uri="{FF2B5EF4-FFF2-40B4-BE49-F238E27FC236}">
              <a16:creationId xmlns:a16="http://schemas.microsoft.com/office/drawing/2014/main" id="{388E2F23-7334-4D19-A5D9-885BDE4EF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1111249</xdr:colOff>
      <xdr:row>55</xdr:row>
      <xdr:rowOff>317499</xdr:rowOff>
    </xdr:from>
    <xdr:to>
      <xdr:col>16</xdr:col>
      <xdr:colOff>1920874</xdr:colOff>
      <xdr:row>56</xdr:row>
      <xdr:rowOff>1889125</xdr:rowOff>
    </xdr:to>
    <xdr:graphicFrame macro="">
      <xdr:nvGraphicFramePr>
        <xdr:cNvPr id="13" name="Diagrama 12">
          <a:extLst>
            <a:ext uri="{FF2B5EF4-FFF2-40B4-BE49-F238E27FC236}">
              <a16:creationId xmlns:a16="http://schemas.microsoft.com/office/drawing/2014/main" id="{A3974D71-4D82-4424-83A6-81BE17B6EA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13</xdr:col>
      <xdr:colOff>1111249</xdr:colOff>
      <xdr:row>466</xdr:row>
      <xdr:rowOff>0</xdr:rowOff>
    </xdr:from>
    <xdr:to>
      <xdr:col>16</xdr:col>
      <xdr:colOff>2047874</xdr:colOff>
      <xdr:row>471</xdr:row>
      <xdr:rowOff>111125</xdr:rowOff>
    </xdr:to>
    <xdr:graphicFrame macro="">
      <xdr:nvGraphicFramePr>
        <xdr:cNvPr id="32" name="Diagrama 31">
          <a:extLst>
            <a:ext uri="{FF2B5EF4-FFF2-40B4-BE49-F238E27FC236}">
              <a16:creationId xmlns:a16="http://schemas.microsoft.com/office/drawing/2014/main" id="{27AF2AB1-991B-4BDF-98EB-6D4F922280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vilys.siauliai.lt/Users/Brigita/Desktop/Dokumentai/Savivaldyb&#279;/Knyga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vilys.siauliai.lt/Users/dovile.jozoniene/AppData/Local/Microsoft/Windows/INetCache/Content.Outlook/CDWZ45NO/Knyg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pas1"/>
    </sheetNames>
    <sheetDataSet>
      <sheetData sheetId="0">
        <row r="2">
          <cell r="C2">
            <v>2021</v>
          </cell>
          <cell r="D2">
            <v>2022</v>
          </cell>
        </row>
        <row r="3">
          <cell r="B3" t="str">
            <v>Priemonė buvo įvykdyta pagal planą</v>
          </cell>
          <cell r="C3">
            <v>2</v>
          </cell>
          <cell r="D3">
            <v>4</v>
          </cell>
        </row>
        <row r="4">
          <cell r="B4" t="str">
            <v>Vykdant priemonę buvo pasiekta vertinimo kriterijų reikšmių mažiau nei 50 %</v>
          </cell>
          <cell r="C4">
            <v>1</v>
          </cell>
          <cell r="D4">
            <v>1</v>
          </cell>
        </row>
        <row r="5">
          <cell r="B5" t="str">
            <v>Vykdant priemonę buvo pasiekta vertinimo kriterijų reikšmių 50 % ir daugiau</v>
          </cell>
          <cell r="C5">
            <v>4</v>
          </cell>
          <cell r="D5">
            <v>2</v>
          </cell>
        </row>
        <row r="6">
          <cell r="B6" t="str">
            <v>Vykdant priemonę buvo pasiekta daugiau vertinimo kriterijų reikšmių nei planuota</v>
          </cell>
          <cell r="C6">
            <v>0</v>
          </cell>
          <cell r="D6">
            <v>1</v>
          </cell>
        </row>
        <row r="7">
          <cell r="B7" t="str">
            <v>Priemonė neįvykdyta, t.y. nepasiekta planuota vertinimo kriterijų reikšmė</v>
          </cell>
          <cell r="C7">
            <v>3</v>
          </cell>
          <cell r="D7">
            <v>0</v>
          </cell>
        </row>
        <row r="8">
          <cell r="B8" t="str">
            <v>Iš viso programų priemonių</v>
          </cell>
          <cell r="C8">
            <v>10</v>
          </cell>
          <cell r="D8">
            <v>8</v>
          </cell>
        </row>
        <row r="12">
          <cell r="C12">
            <v>2021</v>
          </cell>
          <cell r="D12">
            <v>2022</v>
          </cell>
        </row>
        <row r="13">
          <cell r="B13" t="str">
            <v>Priemonė buvo įvykdyta pagal planą</v>
          </cell>
          <cell r="C13">
            <v>7</v>
          </cell>
          <cell r="D13">
            <v>7</v>
          </cell>
        </row>
        <row r="14">
          <cell r="B14" t="str">
            <v>Vykdant priemonę buvo pasiekta vertinimo kriterijų reikšmių mažiau nei 50 %</v>
          </cell>
          <cell r="C14">
            <v>1</v>
          </cell>
          <cell r="D14">
            <v>1</v>
          </cell>
        </row>
        <row r="15">
          <cell r="B15" t="str">
            <v>Vykdant priemonę buvo pasiekta vertinimo kriterijų reikšmių 50 % ir daugiau</v>
          </cell>
          <cell r="C15">
            <v>2</v>
          </cell>
          <cell r="D15">
            <v>3</v>
          </cell>
        </row>
        <row r="16">
          <cell r="B16" t="str">
            <v>Vykdant priemonę buvo pasiekta daugiau vertinimo kriterijų reikšmių nei planuota</v>
          </cell>
          <cell r="C16">
            <v>3</v>
          </cell>
          <cell r="D16">
            <v>3</v>
          </cell>
        </row>
        <row r="17">
          <cell r="B17" t="str">
            <v>Priemonė neįvykdyta, t.y. nepasiekta planuota vertinimo kriterijų reikšmė</v>
          </cell>
          <cell r="C17">
            <v>1</v>
          </cell>
          <cell r="D17">
            <v>3</v>
          </cell>
        </row>
        <row r="18">
          <cell r="B18" t="str">
            <v>Iš viso programų priemonių</v>
          </cell>
          <cell r="C18">
            <v>14</v>
          </cell>
          <cell r="D18">
            <v>17</v>
          </cell>
        </row>
        <row r="24">
          <cell r="C24">
            <v>2021</v>
          </cell>
          <cell r="D24">
            <v>2022</v>
          </cell>
        </row>
        <row r="25">
          <cell r="B25" t="str">
            <v>Priemonė buvo įvykdyta pagal planą</v>
          </cell>
          <cell r="C25">
            <v>8</v>
          </cell>
          <cell r="D25">
            <v>4</v>
          </cell>
        </row>
        <row r="26">
          <cell r="B26" t="str">
            <v>Vykdant priemonę buvo pasiekta vertinimo kriterijų reikšmių mažiau nei 50 %</v>
          </cell>
          <cell r="C26">
            <v>1</v>
          </cell>
          <cell r="D26">
            <v>0</v>
          </cell>
        </row>
        <row r="27">
          <cell r="B27" t="str">
            <v>Vykdant priemonę buvo pasiekta vertinimo kriterijų reikšmių 50 % ir daugiau</v>
          </cell>
          <cell r="C27">
            <v>5</v>
          </cell>
          <cell r="D27">
            <v>5</v>
          </cell>
        </row>
        <row r="28">
          <cell r="B28" t="str">
            <v>Vykdant priemonę buvo pasiekta daugiau vertinimo kriterijų reikšmių nei planuota</v>
          </cell>
          <cell r="C28">
            <v>5</v>
          </cell>
          <cell r="D28">
            <v>4</v>
          </cell>
        </row>
        <row r="29">
          <cell r="B29" t="str">
            <v>Priemonė neįvykdyta, t.y. nepasiekta planuota vertinimo kriterijų reikšmė</v>
          </cell>
          <cell r="C29">
            <v>4</v>
          </cell>
          <cell r="D29">
            <v>5</v>
          </cell>
        </row>
        <row r="30">
          <cell r="B30" t="str">
            <v>Iš viso programų priemonių</v>
          </cell>
          <cell r="C30">
            <v>23</v>
          </cell>
          <cell r="D30">
            <v>18</v>
          </cell>
        </row>
        <row r="35">
          <cell r="C35">
            <v>2021</v>
          </cell>
          <cell r="D35">
            <v>2022</v>
          </cell>
        </row>
        <row r="36">
          <cell r="B36" t="str">
            <v>Priemonė buvo įvykdyta pagal planą</v>
          </cell>
          <cell r="C36">
            <v>11</v>
          </cell>
          <cell r="D36">
            <v>6</v>
          </cell>
        </row>
        <row r="37">
          <cell r="B37" t="str">
            <v>Vykdant priemonę buvo pasiekta vertinimo kriterijų reikšmių mažiau nei 50 %</v>
          </cell>
          <cell r="C37">
            <v>1</v>
          </cell>
          <cell r="D37">
            <v>1</v>
          </cell>
        </row>
        <row r="38">
          <cell r="B38" t="str">
            <v>Vykdant priemonę buvo pasiekta vertinimo kriterijų reikšmių 50 % ir daugiau</v>
          </cell>
          <cell r="C38">
            <v>8</v>
          </cell>
          <cell r="D38">
            <v>7</v>
          </cell>
        </row>
        <row r="39">
          <cell r="B39" t="str">
            <v>Vykdant priemonę buvo pasiekta daugiau vertinimo kriterijų reikšmių nei planuota</v>
          </cell>
          <cell r="C39">
            <v>5</v>
          </cell>
          <cell r="D39">
            <v>3</v>
          </cell>
        </row>
        <row r="40">
          <cell r="B40" t="str">
            <v>Priemonė neįvykdyta, t.y. nepasiekta planuota vertinimo kriterijų reikšmė</v>
          </cell>
          <cell r="C40">
            <v>1</v>
          </cell>
          <cell r="D40">
            <v>4</v>
          </cell>
        </row>
        <row r="41">
          <cell r="B41" t="str">
            <v>Iš viso programų priemonių</v>
          </cell>
          <cell r="C41">
            <v>26</v>
          </cell>
          <cell r="D41">
            <v>21</v>
          </cell>
        </row>
        <row r="46">
          <cell r="C46">
            <v>2021</v>
          </cell>
          <cell r="D46">
            <v>2022</v>
          </cell>
        </row>
        <row r="47">
          <cell r="B47" t="str">
            <v>Priemonė buvo įvykdyta pagal planą</v>
          </cell>
          <cell r="C47">
            <v>5</v>
          </cell>
          <cell r="D47">
            <v>6</v>
          </cell>
        </row>
        <row r="48">
          <cell r="B48" t="str">
            <v>Vykdant priemonę buvo pasiekta vertinimo kriterijų reikšmių mažiau nei 50 %</v>
          </cell>
          <cell r="C48">
            <v>1</v>
          </cell>
          <cell r="D48">
            <v>0</v>
          </cell>
        </row>
        <row r="49">
          <cell r="B49" t="str">
            <v>Vykdant priemonę buvo pasiekta vertinimo kriterijų reikšmių 50 % ir daugiau</v>
          </cell>
          <cell r="C49">
            <v>2</v>
          </cell>
          <cell r="D49">
            <v>1</v>
          </cell>
        </row>
        <row r="50">
          <cell r="B50" t="str">
            <v>Vykdant priemonę buvo pasiekta daugiau vertinimo kriterijų reikšmių nei planuota</v>
          </cell>
          <cell r="C50">
            <v>1</v>
          </cell>
          <cell r="D50">
            <v>1</v>
          </cell>
        </row>
        <row r="51">
          <cell r="B51" t="str">
            <v>Priemonė neįvykdyta, t.y. nepasiekta planuota vertinimo kriterijų reikšmė</v>
          </cell>
          <cell r="C51">
            <v>0</v>
          </cell>
          <cell r="D51">
            <v>1</v>
          </cell>
        </row>
        <row r="52">
          <cell r="B52" t="str">
            <v>Iš viso programų priemonių</v>
          </cell>
          <cell r="C52">
            <v>9</v>
          </cell>
          <cell r="D52">
            <v>9</v>
          </cell>
        </row>
        <row r="57">
          <cell r="C57">
            <v>2021</v>
          </cell>
          <cell r="D57">
            <v>2022</v>
          </cell>
        </row>
        <row r="58">
          <cell r="B58" t="str">
            <v>Priemonė buvo įvykdyta pagal planą</v>
          </cell>
          <cell r="C58">
            <v>5</v>
          </cell>
          <cell r="D58">
            <v>10</v>
          </cell>
        </row>
        <row r="59">
          <cell r="B59" t="str">
            <v>Vykdant priemonę buvo pasiekta vertinimo kriterijų reikšmių mažiau nei 50 %</v>
          </cell>
          <cell r="C59">
            <v>0</v>
          </cell>
          <cell r="D59">
            <v>0</v>
          </cell>
        </row>
        <row r="60">
          <cell r="B60" t="str">
            <v>Vykdant priemonę buvo pasiekta vertinimo kriterijų reikšmių 50 % ir daugiau</v>
          </cell>
          <cell r="C60">
            <v>0</v>
          </cell>
          <cell r="D60">
            <v>2</v>
          </cell>
        </row>
        <row r="61">
          <cell r="B61" t="str">
            <v>Vykdant priemonę buvo pasiekta daugiau vertinimo kriterijų reikšmių nei planuota</v>
          </cell>
          <cell r="C61">
            <v>1</v>
          </cell>
          <cell r="D61">
            <v>1</v>
          </cell>
        </row>
        <row r="62">
          <cell r="B62" t="str">
            <v>Priemonė neįvykdyta, t.y. nepasiekta planuota vertinimo kriterijų reikšmė</v>
          </cell>
          <cell r="C62">
            <v>1</v>
          </cell>
          <cell r="D62">
            <v>1</v>
          </cell>
        </row>
        <row r="63">
          <cell r="B63" t="str">
            <v>Iš viso programų priemonių</v>
          </cell>
          <cell r="C63">
            <v>7</v>
          </cell>
          <cell r="D63">
            <v>14</v>
          </cell>
        </row>
        <row r="68">
          <cell r="C68">
            <v>2021</v>
          </cell>
          <cell r="D68">
            <v>2022</v>
          </cell>
        </row>
        <row r="69">
          <cell r="B69" t="str">
            <v>Priemonė buvo įvykdyta pagal planą</v>
          </cell>
          <cell r="C69">
            <v>3</v>
          </cell>
          <cell r="D69">
            <v>5</v>
          </cell>
        </row>
        <row r="70">
          <cell r="B70" t="str">
            <v>Vykdant priemonę buvo pasiekta vertinimo kriterijų reikšmių mažiau nei 50 %</v>
          </cell>
          <cell r="C70">
            <v>0</v>
          </cell>
          <cell r="D70">
            <v>0</v>
          </cell>
        </row>
        <row r="71">
          <cell r="B71" t="str">
            <v>Vykdant priemonę buvo pasiekta vertinimo kriterijų reikšmių 50 % ir daugiau</v>
          </cell>
          <cell r="C71">
            <v>7</v>
          </cell>
          <cell r="D71">
            <v>2</v>
          </cell>
        </row>
        <row r="72">
          <cell r="B72" t="str">
            <v>Vykdant priemonę buvo pasiekta daugiau vertinimo kriterijų reikšmių nei planuota</v>
          </cell>
          <cell r="C72">
            <v>2</v>
          </cell>
          <cell r="D72">
            <v>5</v>
          </cell>
        </row>
        <row r="73">
          <cell r="B73" t="str">
            <v>Priemonė neįvykdyta, t.y. nepasiekta planuota vertinimo kriterijų reikšmė</v>
          </cell>
          <cell r="C73">
            <v>0</v>
          </cell>
          <cell r="D73">
            <v>0</v>
          </cell>
        </row>
        <row r="74">
          <cell r="B74" t="str">
            <v>Iš viso programų priemonių</v>
          </cell>
          <cell r="C74">
            <v>12</v>
          </cell>
          <cell r="D74">
            <v>12</v>
          </cell>
        </row>
        <row r="90">
          <cell r="C90">
            <v>2021</v>
          </cell>
          <cell r="D90">
            <v>2022</v>
          </cell>
        </row>
        <row r="91">
          <cell r="B91" t="str">
            <v>Priemonė buvo įvykdyta pagal planą</v>
          </cell>
          <cell r="C91">
            <v>5</v>
          </cell>
          <cell r="D91">
            <v>4</v>
          </cell>
        </row>
        <row r="92">
          <cell r="B92" t="str">
            <v>Vykdant priemonę buvo pasiekta vertinimo kriterijų reikšmių mažiau nei 50 %</v>
          </cell>
          <cell r="C92">
            <v>1</v>
          </cell>
          <cell r="D92">
            <v>2</v>
          </cell>
        </row>
        <row r="93">
          <cell r="B93" t="str">
            <v>Vykdant priemonę buvo pasiekta vertinimo kriterijų reikšmių 50 % ir daugiau</v>
          </cell>
          <cell r="C93">
            <v>3</v>
          </cell>
          <cell r="D93">
            <v>5</v>
          </cell>
        </row>
        <row r="94">
          <cell r="B94" t="str">
            <v>Vykdant priemonę buvo pasiekta daugiau vertinimo kriterijų reikšmių nei planuota</v>
          </cell>
          <cell r="C94">
            <v>8</v>
          </cell>
          <cell r="D94">
            <v>4</v>
          </cell>
        </row>
        <row r="95">
          <cell r="B95" t="str">
            <v>Priemonė neįvykdyta, t.y. nepasiekta planuota vertinimo kriterijų reikšmė</v>
          </cell>
          <cell r="C95">
            <v>1</v>
          </cell>
          <cell r="D95">
            <v>2</v>
          </cell>
        </row>
        <row r="96">
          <cell r="B96" t="str">
            <v>Iš viso programų priemonių</v>
          </cell>
          <cell r="C96">
            <v>18</v>
          </cell>
          <cell r="D96">
            <v>17</v>
          </cell>
        </row>
        <row r="101">
          <cell r="C101">
            <v>2021</v>
          </cell>
          <cell r="D101">
            <v>2022</v>
          </cell>
        </row>
        <row r="102">
          <cell r="B102" t="str">
            <v>Priemonė buvo įvykdyta pagal planą</v>
          </cell>
          <cell r="C102">
            <v>15</v>
          </cell>
          <cell r="D102">
            <v>12</v>
          </cell>
        </row>
        <row r="103">
          <cell r="B103" t="str">
            <v>Vykdant priemonę buvo pasiekta vertinimo kriterijų reikšmių mažiau nei 50 %</v>
          </cell>
          <cell r="C103">
            <v>0</v>
          </cell>
          <cell r="D103">
            <v>1</v>
          </cell>
        </row>
        <row r="104">
          <cell r="B104" t="str">
            <v>Vykdant priemonę buvo pasiekta vertinimo kriterijų reikšmių 50 % ir daugiau</v>
          </cell>
          <cell r="C104">
            <v>10</v>
          </cell>
          <cell r="D104">
            <v>9</v>
          </cell>
        </row>
        <row r="105">
          <cell r="B105" t="str">
            <v>Vykdant priemonę buvo pasiekta daugiau vertinimo kriterijų reikšmių nei planuota</v>
          </cell>
          <cell r="C105">
            <v>12</v>
          </cell>
          <cell r="D105">
            <v>4</v>
          </cell>
        </row>
        <row r="106">
          <cell r="B106" t="str">
            <v>Priemonė neįvykdyta, t.y. nepasiekta planuota vertinimo kriterijų reikšmė</v>
          </cell>
          <cell r="C106">
            <v>4</v>
          </cell>
          <cell r="D106">
            <v>0</v>
          </cell>
        </row>
        <row r="107">
          <cell r="B107" t="str">
            <v>Iš viso programų priemonių</v>
          </cell>
          <cell r="C107">
            <v>41</v>
          </cell>
          <cell r="D107">
            <v>26</v>
          </cell>
        </row>
        <row r="112">
          <cell r="C112">
            <v>2021</v>
          </cell>
          <cell r="D112">
            <v>2022</v>
          </cell>
        </row>
        <row r="113">
          <cell r="B113" t="str">
            <v>Priemonė buvo įvykdyta pagal planą</v>
          </cell>
          <cell r="C113">
            <v>30</v>
          </cell>
          <cell r="D113">
            <v>27</v>
          </cell>
        </row>
        <row r="114">
          <cell r="B114" t="str">
            <v>Vykdant priemonę buvo pasiekta vertinimo kriterijų reikšmių mažiau nei 50 %</v>
          </cell>
          <cell r="C114">
            <v>1</v>
          </cell>
          <cell r="D114">
            <v>1</v>
          </cell>
        </row>
        <row r="115">
          <cell r="B115" t="str">
            <v>Vykdant priemonę buvo pasiekta vertinimo kriterijų reikšmių 50 % ir daugiau</v>
          </cell>
          <cell r="C115">
            <v>6</v>
          </cell>
          <cell r="D115">
            <v>5</v>
          </cell>
        </row>
        <row r="116">
          <cell r="B116" t="str">
            <v>Vykdant priemonę buvo pasiekta daugiau vertinimo kriterijų reikšmių nei planuota</v>
          </cell>
          <cell r="C116">
            <v>1</v>
          </cell>
          <cell r="D116">
            <v>3</v>
          </cell>
        </row>
        <row r="117">
          <cell r="B117" t="str">
            <v>Priemonė neįvykdyta, t.y. nepasiekta planuota vertinimo kriterijų reikšmė</v>
          </cell>
          <cell r="C117">
            <v>0</v>
          </cell>
          <cell r="D117">
            <v>5</v>
          </cell>
        </row>
        <row r="118">
          <cell r="B118" t="str">
            <v>Iš viso programų priemonių</v>
          </cell>
          <cell r="C118">
            <v>38</v>
          </cell>
          <cell r="D118">
            <v>41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pas1"/>
    </sheetNames>
    <sheetDataSet>
      <sheetData sheetId="0">
        <row r="79">
          <cell r="C79">
            <v>2021</v>
          </cell>
          <cell r="D79">
            <v>2022</v>
          </cell>
        </row>
        <row r="80">
          <cell r="B80" t="str">
            <v>Priemonė buvo įvykdyta pagal planą</v>
          </cell>
          <cell r="C80">
            <v>13</v>
          </cell>
          <cell r="D80">
            <v>16</v>
          </cell>
        </row>
        <row r="81">
          <cell r="B81" t="str">
            <v>Vykdant priemonę buvo pasiekta vertinimo kriterijų reikšmių mažiau nei 50 %</v>
          </cell>
          <cell r="C81">
            <v>2</v>
          </cell>
        </row>
        <row r="82">
          <cell r="B82" t="str">
            <v>Vykdant priemonę buvo pasiekta vertinimo kriterijų reikšmių 50 % ir daugiau</v>
          </cell>
          <cell r="C82">
            <v>3</v>
          </cell>
          <cell r="D82">
            <v>10</v>
          </cell>
        </row>
        <row r="83">
          <cell r="B83" t="str">
            <v>Vykdant priemonę buvo pasiekta daugiau vertinimo kriterijų reikšmių nei planuota</v>
          </cell>
          <cell r="C83">
            <v>2</v>
          </cell>
          <cell r="D83">
            <v>6</v>
          </cell>
        </row>
        <row r="84">
          <cell r="B84" t="str">
            <v>Priemonė neįvykdyta, t.y. nepasiekta planuota vertinimo kriterijų reikšmė</v>
          </cell>
          <cell r="C84">
            <v>2</v>
          </cell>
          <cell r="D84">
            <v>4</v>
          </cell>
        </row>
        <row r="85">
          <cell r="B85" t="str">
            <v>Iš viso programų priemonių</v>
          </cell>
          <cell r="C85">
            <v>22</v>
          </cell>
          <cell r="D85">
            <v>36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45"/>
  <sheetViews>
    <sheetView tabSelected="1" zoomScale="90" zoomScaleNormal="90" workbookViewId="0">
      <selection activeCell="J14" sqref="J14"/>
    </sheetView>
  </sheetViews>
  <sheetFormatPr defaultColWidth="9.140625" defaultRowHeight="15.75" x14ac:dyDescent="0.25"/>
  <cols>
    <col min="1" max="1" width="12.42578125" style="3" customWidth="1"/>
    <col min="2" max="2" width="24" style="3" customWidth="1"/>
    <col min="3" max="3" width="12.42578125" style="3" customWidth="1"/>
    <col min="4" max="4" width="13.28515625" style="3" customWidth="1"/>
    <col min="5" max="5" width="12.7109375" style="3" customWidth="1"/>
    <col min="6" max="6" width="14.5703125" style="3" customWidth="1"/>
    <col min="7" max="7" width="11.5703125" style="3" customWidth="1"/>
    <col min="8" max="8" width="21.28515625" style="3" customWidth="1"/>
    <col min="9" max="9" width="6.7109375" style="3" customWidth="1"/>
    <col min="10" max="10" width="11.85546875" style="4" customWidth="1"/>
    <col min="11" max="11" width="12.5703125" style="4" customWidth="1"/>
    <col min="12" max="12" width="50.5703125" style="3" customWidth="1"/>
    <col min="13" max="13" width="52.85546875" style="3" customWidth="1"/>
    <col min="14" max="14" width="16.5703125" style="5" customWidth="1"/>
    <col min="15" max="15" width="11.85546875" style="5" customWidth="1"/>
    <col min="16" max="16" width="58" style="5" customWidth="1"/>
    <col min="17" max="17" width="31" style="5" customWidth="1"/>
    <col min="18" max="16384" width="9.140625" style="5"/>
  </cols>
  <sheetData>
    <row r="1" spans="1:17" x14ac:dyDescent="0.25">
      <c r="M1" s="6"/>
    </row>
    <row r="2" spans="1:17" x14ac:dyDescent="0.25">
      <c r="M2" s="7" t="s">
        <v>1725</v>
      </c>
    </row>
    <row r="3" spans="1:17" x14ac:dyDescent="0.25">
      <c r="M3" s="7" t="s">
        <v>1726</v>
      </c>
    </row>
    <row r="4" spans="1:17" x14ac:dyDescent="0.25">
      <c r="M4" s="7" t="s">
        <v>1932</v>
      </c>
    </row>
    <row r="5" spans="1:17" ht="16.5" thickBot="1" x14ac:dyDescent="0.3"/>
    <row r="6" spans="1:17" s="8" customFormat="1" ht="46.5" customHeight="1" x14ac:dyDescent="0.25">
      <c r="A6" s="132" t="s">
        <v>0</v>
      </c>
      <c r="B6" s="135" t="s">
        <v>1</v>
      </c>
      <c r="C6" s="135" t="s">
        <v>2</v>
      </c>
      <c r="D6" s="147" t="s">
        <v>3</v>
      </c>
      <c r="E6" s="135" t="s">
        <v>1728</v>
      </c>
      <c r="F6" s="147" t="s">
        <v>4</v>
      </c>
      <c r="G6" s="144" t="s">
        <v>1696</v>
      </c>
      <c r="H6" s="135" t="s">
        <v>5</v>
      </c>
      <c r="I6" s="140"/>
      <c r="J6" s="140"/>
      <c r="K6" s="140"/>
      <c r="L6" s="140"/>
      <c r="M6" s="141"/>
    </row>
    <row r="7" spans="1:17" s="8" customFormat="1" ht="20.25" customHeight="1" x14ac:dyDescent="0.25">
      <c r="A7" s="133"/>
      <c r="B7" s="136"/>
      <c r="C7" s="136"/>
      <c r="D7" s="148"/>
      <c r="E7" s="136"/>
      <c r="F7" s="148"/>
      <c r="G7" s="145"/>
      <c r="H7" s="136" t="s">
        <v>6</v>
      </c>
      <c r="I7" s="136" t="s">
        <v>7</v>
      </c>
      <c r="J7" s="142" t="s">
        <v>8</v>
      </c>
      <c r="K7" s="143"/>
      <c r="L7" s="136" t="s">
        <v>9</v>
      </c>
      <c r="M7" s="138" t="s">
        <v>10</v>
      </c>
    </row>
    <row r="8" spans="1:17" s="8" customFormat="1" ht="18.75" customHeight="1" thickBot="1" x14ac:dyDescent="0.3">
      <c r="A8" s="134"/>
      <c r="B8" s="137"/>
      <c r="C8" s="137"/>
      <c r="D8" s="149"/>
      <c r="E8" s="137"/>
      <c r="F8" s="149"/>
      <c r="G8" s="146"/>
      <c r="H8" s="137"/>
      <c r="I8" s="137"/>
      <c r="J8" s="9" t="s">
        <v>11</v>
      </c>
      <c r="K8" s="9" t="s">
        <v>12</v>
      </c>
      <c r="L8" s="137"/>
      <c r="M8" s="139"/>
    </row>
    <row r="9" spans="1:17" ht="32.25" thickBot="1" x14ac:dyDescent="0.3">
      <c r="A9" s="10" t="s">
        <v>13</v>
      </c>
      <c r="B9" s="11" t="s">
        <v>14</v>
      </c>
      <c r="C9" s="12"/>
      <c r="D9" s="13">
        <f>SUM(D10:D10)</f>
        <v>581.29999999999995</v>
      </c>
      <c r="E9" s="13">
        <f>SUM(E10:E10)</f>
        <v>385.59999999999997</v>
      </c>
      <c r="F9" s="13">
        <f>SUM(F10:F10)</f>
        <v>195.7</v>
      </c>
      <c r="G9" s="14">
        <f>SUM(E9/D9)</f>
        <v>0.6633407878892138</v>
      </c>
      <c r="H9" s="126"/>
      <c r="I9" s="127"/>
      <c r="J9" s="127"/>
      <c r="K9" s="127"/>
      <c r="L9" s="127"/>
      <c r="M9" s="128"/>
    </row>
    <row r="10" spans="1:17" ht="95.25" thickBot="1" x14ac:dyDescent="0.3">
      <c r="A10" s="15" t="s">
        <v>15</v>
      </c>
      <c r="B10" s="16" t="s">
        <v>16</v>
      </c>
      <c r="C10" s="17"/>
      <c r="D10" s="18">
        <f>D11+D32+D42+D44</f>
        <v>581.29999999999995</v>
      </c>
      <c r="E10" s="18">
        <f>E11+E32+E42+E44</f>
        <v>385.59999999999997</v>
      </c>
      <c r="F10" s="18">
        <f>F11+F32+F42+F44</f>
        <v>195.7</v>
      </c>
      <c r="G10" s="19">
        <f>SUM(E10/D10)</f>
        <v>0.6633407878892138</v>
      </c>
      <c r="H10" s="17" t="s">
        <v>17</v>
      </c>
      <c r="I10" s="20" t="s">
        <v>18</v>
      </c>
      <c r="J10" s="21">
        <v>95</v>
      </c>
      <c r="K10" s="21">
        <v>142</v>
      </c>
      <c r="L10" s="17"/>
      <c r="M10" s="22"/>
      <c r="O10" s="23"/>
      <c r="P10" s="24" t="s">
        <v>1</v>
      </c>
      <c r="Q10" s="24" t="s">
        <v>1923</v>
      </c>
    </row>
    <row r="11" spans="1:17" ht="63.75" thickBot="1" x14ac:dyDescent="0.3">
      <c r="A11" s="25" t="s">
        <v>19</v>
      </c>
      <c r="B11" s="26" t="s">
        <v>20</v>
      </c>
      <c r="C11" s="27"/>
      <c r="D11" s="28">
        <f>D12+D17+D29</f>
        <v>111.9</v>
      </c>
      <c r="E11" s="28">
        <f>E12+E17+E29</f>
        <v>98.699999999999989</v>
      </c>
      <c r="F11" s="28">
        <f>F12+F17+F29</f>
        <v>13.2</v>
      </c>
      <c r="G11" s="29">
        <f>SUM(E11/D11)</f>
        <v>0.88203753351206415</v>
      </c>
      <c r="H11" s="129"/>
      <c r="I11" s="130"/>
      <c r="J11" s="130"/>
      <c r="K11" s="130"/>
      <c r="L11" s="130"/>
      <c r="M11" s="131"/>
      <c r="O11" s="30"/>
      <c r="P11" s="31" t="s">
        <v>1712</v>
      </c>
      <c r="Q11" s="32">
        <v>3</v>
      </c>
    </row>
    <row r="12" spans="1:17" ht="44.25" customHeight="1" x14ac:dyDescent="0.25">
      <c r="A12" s="151" t="s">
        <v>21</v>
      </c>
      <c r="B12" s="154" t="s">
        <v>22</v>
      </c>
      <c r="C12" s="33" t="s">
        <v>23</v>
      </c>
      <c r="D12" s="34">
        <f>SUM(D13:D16)+19.7</f>
        <v>19.7</v>
      </c>
      <c r="E12" s="34">
        <f>SUM(E13:E16)+19.7</f>
        <v>19.7</v>
      </c>
      <c r="F12" s="34"/>
      <c r="G12" s="35">
        <f>SUM(E12/D12)</f>
        <v>1</v>
      </c>
      <c r="H12" s="33" t="s">
        <v>24</v>
      </c>
      <c r="I12" s="36" t="s">
        <v>18</v>
      </c>
      <c r="J12" s="37">
        <v>1</v>
      </c>
      <c r="K12" s="38">
        <v>1</v>
      </c>
      <c r="L12" s="33" t="s">
        <v>25</v>
      </c>
      <c r="M12" s="39"/>
      <c r="O12" s="40"/>
      <c r="P12" s="31" t="s">
        <v>1713</v>
      </c>
      <c r="Q12" s="32">
        <v>1</v>
      </c>
    </row>
    <row r="13" spans="1:17" ht="110.25" hidden="1" x14ac:dyDescent="0.25">
      <c r="A13" s="152"/>
      <c r="B13" s="155"/>
      <c r="C13" s="41"/>
      <c r="D13" s="42"/>
      <c r="E13" s="42"/>
      <c r="F13" s="42"/>
      <c r="G13" s="42"/>
      <c r="H13" s="41" t="s">
        <v>26</v>
      </c>
      <c r="I13" s="43" t="s">
        <v>27</v>
      </c>
      <c r="J13" s="44"/>
      <c r="K13" s="44"/>
      <c r="L13" s="41"/>
      <c r="M13" s="45" t="s">
        <v>28</v>
      </c>
      <c r="O13" s="46"/>
      <c r="P13" s="31" t="s">
        <v>1714</v>
      </c>
      <c r="Q13" s="32"/>
    </row>
    <row r="14" spans="1:17" ht="78.75" x14ac:dyDescent="0.25">
      <c r="A14" s="152"/>
      <c r="B14" s="155"/>
      <c r="C14" s="41"/>
      <c r="D14" s="42"/>
      <c r="E14" s="42"/>
      <c r="F14" s="42"/>
      <c r="G14" s="42"/>
      <c r="H14" s="41" t="s">
        <v>29</v>
      </c>
      <c r="I14" s="43" t="s">
        <v>18</v>
      </c>
      <c r="J14" s="44">
        <v>1</v>
      </c>
      <c r="K14" s="47">
        <v>1</v>
      </c>
      <c r="L14" s="41" t="s">
        <v>30</v>
      </c>
      <c r="M14" s="45"/>
      <c r="O14" s="1"/>
      <c r="P14" s="2" t="s">
        <v>1714</v>
      </c>
      <c r="Q14" s="48">
        <v>3</v>
      </c>
    </row>
    <row r="15" spans="1:17" ht="78.75" x14ac:dyDescent="0.25">
      <c r="A15" s="152"/>
      <c r="B15" s="155"/>
      <c r="C15" s="41"/>
      <c r="D15" s="42"/>
      <c r="E15" s="42"/>
      <c r="F15" s="42"/>
      <c r="G15" s="42"/>
      <c r="H15" s="41" t="s">
        <v>31</v>
      </c>
      <c r="I15" s="43" t="s">
        <v>18</v>
      </c>
      <c r="J15" s="44">
        <v>1</v>
      </c>
      <c r="K15" s="49">
        <v>0</v>
      </c>
      <c r="L15" s="41"/>
      <c r="M15" s="45" t="s">
        <v>1730</v>
      </c>
      <c r="O15" s="50"/>
      <c r="P15" s="31" t="s">
        <v>1716</v>
      </c>
      <c r="Q15" s="51">
        <v>1</v>
      </c>
    </row>
    <row r="16" spans="1:17" ht="189.75" thickBot="1" x14ac:dyDescent="0.3">
      <c r="A16" s="153"/>
      <c r="B16" s="156"/>
      <c r="C16" s="41"/>
      <c r="D16" s="42"/>
      <c r="E16" s="42"/>
      <c r="F16" s="42"/>
      <c r="G16" s="42"/>
      <c r="H16" s="41" t="s">
        <v>32</v>
      </c>
      <c r="I16" s="43" t="s">
        <v>18</v>
      </c>
      <c r="J16" s="44">
        <v>1</v>
      </c>
      <c r="K16" s="49">
        <v>0</v>
      </c>
      <c r="L16" s="41"/>
      <c r="M16" s="45" t="s">
        <v>1731</v>
      </c>
      <c r="O16" s="52"/>
      <c r="P16" s="31" t="s">
        <v>1717</v>
      </c>
      <c r="Q16" s="48"/>
    </row>
    <row r="17" spans="1:17" ht="31.5" x14ac:dyDescent="0.25">
      <c r="A17" s="151" t="s">
        <v>33</v>
      </c>
      <c r="B17" s="154" t="s">
        <v>34</v>
      </c>
      <c r="C17" s="33"/>
      <c r="D17" s="34">
        <f>SUM(D18:D28)</f>
        <v>55.2</v>
      </c>
      <c r="E17" s="34">
        <f>SUM(E18:E28)</f>
        <v>48.6</v>
      </c>
      <c r="F17" s="34">
        <f>SUM(F18:F28)</f>
        <v>6.6</v>
      </c>
      <c r="G17" s="53">
        <f>SUM(E17/D17)</f>
        <v>0.88043478260869568</v>
      </c>
      <c r="H17" s="33" t="s">
        <v>35</v>
      </c>
      <c r="I17" s="36" t="s">
        <v>18</v>
      </c>
      <c r="J17" s="37">
        <v>2</v>
      </c>
      <c r="K17" s="54">
        <v>0</v>
      </c>
      <c r="L17" s="33" t="s">
        <v>36</v>
      </c>
      <c r="M17" s="39"/>
      <c r="O17" s="23"/>
      <c r="P17" s="55" t="s">
        <v>1715</v>
      </c>
      <c r="Q17" s="48">
        <f>+SUM(Q11:Q16)</f>
        <v>8</v>
      </c>
    </row>
    <row r="18" spans="1:17" ht="78.75" x14ac:dyDescent="0.25">
      <c r="A18" s="152"/>
      <c r="B18" s="155"/>
      <c r="C18" s="41" t="s">
        <v>37</v>
      </c>
      <c r="D18" s="42">
        <v>55.2</v>
      </c>
      <c r="E18" s="42">
        <v>48.6</v>
      </c>
      <c r="F18" s="42">
        <v>6.6</v>
      </c>
      <c r="G18" s="57">
        <f>SUM(E18/D18)</f>
        <v>0.88043478260869568</v>
      </c>
      <c r="H18" s="58" t="s">
        <v>38</v>
      </c>
      <c r="I18" s="43" t="s">
        <v>18</v>
      </c>
      <c r="J18" s="44">
        <v>1</v>
      </c>
      <c r="K18" s="49">
        <v>0</v>
      </c>
      <c r="L18" s="41" t="s">
        <v>39</v>
      </c>
      <c r="M18" s="45" t="s">
        <v>1732</v>
      </c>
    </row>
    <row r="19" spans="1:17" ht="110.25" x14ac:dyDescent="0.25">
      <c r="A19" s="152"/>
      <c r="B19" s="155"/>
      <c r="C19" s="41"/>
      <c r="D19" s="42"/>
      <c r="E19" s="42"/>
      <c r="F19" s="42"/>
      <c r="G19" s="59"/>
      <c r="H19" s="41" t="s">
        <v>40</v>
      </c>
      <c r="I19" s="43" t="s">
        <v>18</v>
      </c>
      <c r="J19" s="44">
        <v>1</v>
      </c>
      <c r="K19" s="47">
        <v>1</v>
      </c>
      <c r="L19" s="41" t="s">
        <v>41</v>
      </c>
      <c r="M19" s="45"/>
    </row>
    <row r="20" spans="1:17" ht="94.5" x14ac:dyDescent="0.25">
      <c r="A20" s="152"/>
      <c r="B20" s="155"/>
      <c r="C20" s="41"/>
      <c r="D20" s="42"/>
      <c r="E20" s="42"/>
      <c r="F20" s="42"/>
      <c r="G20" s="42"/>
      <c r="H20" s="41" t="s">
        <v>42</v>
      </c>
      <c r="I20" s="43" t="s">
        <v>18</v>
      </c>
      <c r="J20" s="44">
        <v>1</v>
      </c>
      <c r="K20" s="47">
        <v>1</v>
      </c>
      <c r="L20" s="41" t="s">
        <v>43</v>
      </c>
      <c r="M20" s="45"/>
    </row>
    <row r="21" spans="1:17" ht="63" x14ac:dyDescent="0.25">
      <c r="A21" s="152"/>
      <c r="B21" s="155"/>
      <c r="C21" s="41"/>
      <c r="D21" s="42"/>
      <c r="E21" s="42"/>
      <c r="F21" s="42"/>
      <c r="G21" s="42"/>
      <c r="H21" s="41" t="s">
        <v>44</v>
      </c>
      <c r="I21" s="43" t="s">
        <v>18</v>
      </c>
      <c r="J21" s="44">
        <v>1</v>
      </c>
      <c r="K21" s="47">
        <v>1</v>
      </c>
      <c r="L21" s="41" t="s">
        <v>45</v>
      </c>
      <c r="M21" s="45"/>
    </row>
    <row r="22" spans="1:17" ht="63" x14ac:dyDescent="0.25">
      <c r="A22" s="152"/>
      <c r="B22" s="155"/>
      <c r="C22" s="41"/>
      <c r="D22" s="42"/>
      <c r="E22" s="42"/>
      <c r="F22" s="42"/>
      <c r="G22" s="42"/>
      <c r="H22" s="41" t="s">
        <v>46</v>
      </c>
      <c r="I22" s="43" t="s">
        <v>18</v>
      </c>
      <c r="J22" s="44">
        <v>1</v>
      </c>
      <c r="K22" s="47">
        <v>1</v>
      </c>
      <c r="L22" s="41" t="s">
        <v>47</v>
      </c>
      <c r="M22" s="45"/>
    </row>
    <row r="23" spans="1:17" ht="141.75" x14ac:dyDescent="0.25">
      <c r="A23" s="152"/>
      <c r="B23" s="155"/>
      <c r="C23" s="41"/>
      <c r="D23" s="42"/>
      <c r="E23" s="42"/>
      <c r="F23" s="42"/>
      <c r="G23" s="42"/>
      <c r="H23" s="41" t="s">
        <v>48</v>
      </c>
      <c r="I23" s="43" t="s">
        <v>18</v>
      </c>
      <c r="J23" s="44">
        <v>1</v>
      </c>
      <c r="K23" s="47">
        <v>1</v>
      </c>
      <c r="L23" s="41" t="s">
        <v>49</v>
      </c>
      <c r="M23" s="45"/>
    </row>
    <row r="24" spans="1:17" ht="110.25" x14ac:dyDescent="0.25">
      <c r="A24" s="152"/>
      <c r="B24" s="155"/>
      <c r="C24" s="41"/>
      <c r="D24" s="42"/>
      <c r="E24" s="42"/>
      <c r="F24" s="42"/>
      <c r="G24" s="42"/>
      <c r="H24" s="41" t="s">
        <v>50</v>
      </c>
      <c r="I24" s="43" t="s">
        <v>18</v>
      </c>
      <c r="J24" s="44">
        <v>1</v>
      </c>
      <c r="K24" s="49">
        <v>0</v>
      </c>
      <c r="L24" s="41" t="s">
        <v>51</v>
      </c>
      <c r="M24" s="45" t="s">
        <v>1733</v>
      </c>
    </row>
    <row r="25" spans="1:17" ht="63" x14ac:dyDescent="0.25">
      <c r="A25" s="152"/>
      <c r="B25" s="155"/>
      <c r="C25" s="41"/>
      <c r="D25" s="42"/>
      <c r="E25" s="42"/>
      <c r="F25" s="42"/>
      <c r="G25" s="42"/>
      <c r="H25" s="41" t="s">
        <v>52</v>
      </c>
      <c r="I25" s="43" t="s">
        <v>18</v>
      </c>
      <c r="J25" s="44">
        <v>1</v>
      </c>
      <c r="K25" s="47">
        <v>1</v>
      </c>
      <c r="L25" s="41" t="s">
        <v>53</v>
      </c>
      <c r="M25" s="45"/>
    </row>
    <row r="26" spans="1:17" ht="78.75" x14ac:dyDescent="0.25">
      <c r="A26" s="152"/>
      <c r="B26" s="155"/>
      <c r="C26" s="41"/>
      <c r="D26" s="42"/>
      <c r="E26" s="42"/>
      <c r="F26" s="42"/>
      <c r="G26" s="42"/>
      <c r="H26" s="41" t="s">
        <v>54</v>
      </c>
      <c r="I26" s="43" t="s">
        <v>18</v>
      </c>
      <c r="J26" s="44">
        <v>1</v>
      </c>
      <c r="K26" s="49">
        <v>0</v>
      </c>
      <c r="L26" s="41"/>
      <c r="M26" s="45" t="s">
        <v>1734</v>
      </c>
    </row>
    <row r="27" spans="1:17" ht="94.5" x14ac:dyDescent="0.25">
      <c r="A27" s="152"/>
      <c r="B27" s="155"/>
      <c r="C27" s="41"/>
      <c r="D27" s="42"/>
      <c r="E27" s="42"/>
      <c r="F27" s="42"/>
      <c r="G27" s="42"/>
      <c r="H27" s="41" t="s">
        <v>55</v>
      </c>
      <c r="I27" s="43" t="s">
        <v>18</v>
      </c>
      <c r="J27" s="44">
        <v>1</v>
      </c>
      <c r="K27" s="47">
        <v>1</v>
      </c>
      <c r="L27" s="41" t="s">
        <v>56</v>
      </c>
      <c r="M27" s="45"/>
    </row>
    <row r="28" spans="1:17" ht="63.75" thickBot="1" x14ac:dyDescent="0.3">
      <c r="A28" s="153"/>
      <c r="B28" s="156"/>
      <c r="C28" s="41"/>
      <c r="D28" s="42"/>
      <c r="E28" s="42"/>
      <c r="F28" s="42"/>
      <c r="G28" s="42"/>
      <c r="H28" s="41" t="s">
        <v>57</v>
      </c>
      <c r="I28" s="43" t="s">
        <v>18</v>
      </c>
      <c r="J28" s="44">
        <v>1</v>
      </c>
      <c r="K28" s="49">
        <v>0</v>
      </c>
      <c r="L28" s="41"/>
      <c r="M28" s="45" t="s">
        <v>1735</v>
      </c>
    </row>
    <row r="29" spans="1:17" ht="94.5" x14ac:dyDescent="0.25">
      <c r="A29" s="151" t="s">
        <v>58</v>
      </c>
      <c r="B29" s="154" t="s">
        <v>59</v>
      </c>
      <c r="C29" s="33"/>
      <c r="D29" s="34">
        <f>SUM(D30:D31)</f>
        <v>37</v>
      </c>
      <c r="E29" s="34">
        <f>SUM(E30:E31)</f>
        <v>30.4</v>
      </c>
      <c r="F29" s="34">
        <f>SUM(F30:F31)</f>
        <v>6.6000000000000005</v>
      </c>
      <c r="G29" s="53">
        <f>SUM(E29/D29)</f>
        <v>0.82162162162162156</v>
      </c>
      <c r="H29" s="33" t="s">
        <v>60</v>
      </c>
      <c r="I29" s="36" t="s">
        <v>18</v>
      </c>
      <c r="J29" s="37">
        <v>80</v>
      </c>
      <c r="K29" s="60">
        <v>102</v>
      </c>
      <c r="L29" s="33" t="s">
        <v>61</v>
      </c>
      <c r="M29" s="39" t="s">
        <v>1736</v>
      </c>
    </row>
    <row r="30" spans="1:17" x14ac:dyDescent="0.25">
      <c r="A30" s="152"/>
      <c r="B30" s="155"/>
      <c r="C30" s="41" t="s">
        <v>37</v>
      </c>
      <c r="D30" s="42">
        <v>25</v>
      </c>
      <c r="E30" s="42">
        <v>19.3</v>
      </c>
      <c r="F30" s="42">
        <v>5.7</v>
      </c>
      <c r="G30" s="57">
        <f>SUM(E30/D30)</f>
        <v>0.77200000000000002</v>
      </c>
      <c r="H30" s="58"/>
      <c r="I30" s="43"/>
      <c r="J30" s="44"/>
      <c r="K30" s="44"/>
      <c r="L30" s="41"/>
      <c r="M30" s="45"/>
    </row>
    <row r="31" spans="1:17" ht="16.5" thickBot="1" x14ac:dyDescent="0.3">
      <c r="A31" s="153"/>
      <c r="B31" s="156"/>
      <c r="C31" s="41" t="s">
        <v>23</v>
      </c>
      <c r="D31" s="42">
        <v>12</v>
      </c>
      <c r="E31" s="42">
        <v>11.1</v>
      </c>
      <c r="F31" s="42">
        <v>0.9</v>
      </c>
      <c r="G31" s="61">
        <f>SUM(E31/D31)</f>
        <v>0.92499999999999993</v>
      </c>
      <c r="H31" s="41"/>
      <c r="I31" s="43"/>
      <c r="J31" s="44"/>
      <c r="K31" s="44"/>
      <c r="L31" s="41"/>
      <c r="M31" s="45"/>
    </row>
    <row r="32" spans="1:17" ht="48" thickBot="1" x14ac:dyDescent="0.3">
      <c r="A32" s="25" t="s">
        <v>62</v>
      </c>
      <c r="B32" s="26" t="s">
        <v>63</v>
      </c>
      <c r="C32" s="27"/>
      <c r="D32" s="28">
        <f>D33+D38</f>
        <v>440</v>
      </c>
      <c r="E32" s="28">
        <f>E33+E38</f>
        <v>263.89999999999998</v>
      </c>
      <c r="F32" s="28">
        <f>F33+F38</f>
        <v>176.1</v>
      </c>
      <c r="G32" s="29">
        <f>SUM(E32/D32)</f>
        <v>0.59977272727272724</v>
      </c>
      <c r="H32" s="129"/>
      <c r="I32" s="130"/>
      <c r="J32" s="130"/>
      <c r="K32" s="130"/>
      <c r="L32" s="130"/>
      <c r="M32" s="131"/>
    </row>
    <row r="33" spans="1:17" ht="47.25" x14ac:dyDescent="0.25">
      <c r="A33" s="151" t="s">
        <v>64</v>
      </c>
      <c r="B33" s="154" t="s">
        <v>65</v>
      </c>
      <c r="C33" s="33" t="s">
        <v>23</v>
      </c>
      <c r="D33" s="34">
        <f>SUM(D34:D37)+33</f>
        <v>33</v>
      </c>
      <c r="E33" s="34">
        <f>SUM(E34:E37)+14.5</f>
        <v>14.5</v>
      </c>
      <c r="F33" s="34">
        <f>SUM(F34:F37)+18.5</f>
        <v>18.5</v>
      </c>
      <c r="G33" s="35">
        <f>SUM(E33/D33)</f>
        <v>0.43939393939393939</v>
      </c>
      <c r="H33" s="33" t="s">
        <v>66</v>
      </c>
      <c r="I33" s="36" t="s">
        <v>18</v>
      </c>
      <c r="J33" s="37">
        <v>1</v>
      </c>
      <c r="K33" s="54">
        <v>0</v>
      </c>
      <c r="L33" s="33" t="s">
        <v>67</v>
      </c>
      <c r="M33" s="39" t="s">
        <v>1737</v>
      </c>
    </row>
    <row r="34" spans="1:17" ht="58.5" customHeight="1" x14ac:dyDescent="0.25">
      <c r="A34" s="152"/>
      <c r="B34" s="155"/>
      <c r="C34" s="41"/>
      <c r="D34" s="42"/>
      <c r="E34" s="42"/>
      <c r="F34" s="42"/>
      <c r="G34" s="42"/>
      <c r="H34" s="41" t="s">
        <v>68</v>
      </c>
      <c r="I34" s="43" t="s">
        <v>18</v>
      </c>
      <c r="J34" s="44">
        <v>1</v>
      </c>
      <c r="K34" s="47">
        <v>1</v>
      </c>
      <c r="L34" s="41" t="s">
        <v>69</v>
      </c>
      <c r="M34" s="45" t="s">
        <v>1738</v>
      </c>
    </row>
    <row r="35" spans="1:17" ht="47.25" hidden="1" x14ac:dyDescent="0.25">
      <c r="A35" s="152"/>
      <c r="B35" s="155"/>
      <c r="C35" s="41"/>
      <c r="D35" s="42"/>
      <c r="E35" s="42"/>
      <c r="F35" s="42"/>
      <c r="G35" s="42"/>
      <c r="H35" s="41" t="s">
        <v>70</v>
      </c>
      <c r="I35" s="43" t="s">
        <v>27</v>
      </c>
      <c r="J35" s="44"/>
      <c r="K35" s="44"/>
      <c r="L35" s="41"/>
      <c r="M35" s="45" t="s">
        <v>71</v>
      </c>
    </row>
    <row r="36" spans="1:17" ht="47.25" x14ac:dyDescent="0.25">
      <c r="A36" s="152"/>
      <c r="B36" s="155"/>
      <c r="C36" s="41"/>
      <c r="D36" s="42"/>
      <c r="E36" s="42"/>
      <c r="F36" s="42"/>
      <c r="G36" s="42"/>
      <c r="H36" s="41" t="s">
        <v>72</v>
      </c>
      <c r="I36" s="43" t="s">
        <v>18</v>
      </c>
      <c r="J36" s="44">
        <v>1</v>
      </c>
      <c r="K36" s="49">
        <v>0</v>
      </c>
      <c r="L36" s="41"/>
      <c r="M36" s="45" t="s">
        <v>1739</v>
      </c>
    </row>
    <row r="37" spans="1:17" ht="63.75" thickBot="1" x14ac:dyDescent="0.3">
      <c r="A37" s="153"/>
      <c r="B37" s="156"/>
      <c r="C37" s="41"/>
      <c r="D37" s="42"/>
      <c r="E37" s="42"/>
      <c r="F37" s="42"/>
      <c r="G37" s="42"/>
      <c r="H37" s="41" t="s">
        <v>73</v>
      </c>
      <c r="I37" s="43" t="s">
        <v>18</v>
      </c>
      <c r="J37" s="44">
        <v>1</v>
      </c>
      <c r="K37" s="49">
        <v>0</v>
      </c>
      <c r="L37" s="41"/>
      <c r="M37" s="45" t="s">
        <v>1740</v>
      </c>
    </row>
    <row r="38" spans="1:17" ht="78.75" x14ac:dyDescent="0.25">
      <c r="A38" s="151" t="s">
        <v>74</v>
      </c>
      <c r="B38" s="154" t="s">
        <v>75</v>
      </c>
      <c r="C38" s="33"/>
      <c r="D38" s="34">
        <f>SUM(D39:D41)</f>
        <v>407</v>
      </c>
      <c r="E38" s="34">
        <f>SUM(E39:E41)</f>
        <v>249.4</v>
      </c>
      <c r="F38" s="34">
        <f>SUM(F39:F41)</f>
        <v>157.6</v>
      </c>
      <c r="G38" s="53">
        <f t="shared" ref="G38:G48" si="0">SUM(E38/D38)</f>
        <v>0.61277641277641282</v>
      </c>
      <c r="H38" s="33" t="s">
        <v>76</v>
      </c>
      <c r="I38" s="36" t="s">
        <v>18</v>
      </c>
      <c r="J38" s="37">
        <v>3</v>
      </c>
      <c r="K38" s="62">
        <v>2</v>
      </c>
      <c r="L38" s="33" t="s">
        <v>77</v>
      </c>
      <c r="M38" s="39" t="s">
        <v>1741</v>
      </c>
    </row>
    <row r="39" spans="1:17" ht="409.5" x14ac:dyDescent="0.25">
      <c r="A39" s="152"/>
      <c r="B39" s="155"/>
      <c r="C39" s="41" t="s">
        <v>78</v>
      </c>
      <c r="D39" s="42">
        <v>22</v>
      </c>
      <c r="E39" s="42">
        <v>22</v>
      </c>
      <c r="F39" s="42"/>
      <c r="G39" s="57">
        <f t="shared" si="0"/>
        <v>1</v>
      </c>
      <c r="H39" s="58" t="s">
        <v>79</v>
      </c>
      <c r="I39" s="122" t="s">
        <v>27</v>
      </c>
      <c r="J39" s="44">
        <v>13</v>
      </c>
      <c r="K39" s="72">
        <v>8</v>
      </c>
      <c r="L39" s="41" t="s">
        <v>80</v>
      </c>
      <c r="M39" s="45" t="s">
        <v>1742</v>
      </c>
    </row>
    <row r="40" spans="1:17" ht="189" x14ac:dyDescent="0.25">
      <c r="A40" s="152"/>
      <c r="B40" s="155"/>
      <c r="C40" s="41" t="s">
        <v>23</v>
      </c>
      <c r="D40" s="42">
        <v>280</v>
      </c>
      <c r="E40" s="42">
        <v>122.4</v>
      </c>
      <c r="F40" s="42">
        <v>157.6</v>
      </c>
      <c r="G40" s="57">
        <f t="shared" si="0"/>
        <v>0.43714285714285717</v>
      </c>
      <c r="H40" s="58" t="s">
        <v>81</v>
      </c>
      <c r="I40" s="43" t="s">
        <v>18</v>
      </c>
      <c r="J40" s="44">
        <v>10</v>
      </c>
      <c r="K40" s="47">
        <v>10</v>
      </c>
      <c r="L40" s="41" t="s">
        <v>82</v>
      </c>
      <c r="M40" s="45"/>
    </row>
    <row r="41" spans="1:17" ht="16.5" thickBot="1" x14ac:dyDescent="0.3">
      <c r="A41" s="153"/>
      <c r="B41" s="156"/>
      <c r="C41" s="41" t="s">
        <v>37</v>
      </c>
      <c r="D41" s="42">
        <v>105</v>
      </c>
      <c r="E41" s="42">
        <v>105</v>
      </c>
      <c r="F41" s="42"/>
      <c r="G41" s="61">
        <f t="shared" si="0"/>
        <v>1</v>
      </c>
      <c r="H41" s="41"/>
      <c r="I41" s="43"/>
      <c r="J41" s="44"/>
      <c r="K41" s="44"/>
      <c r="L41" s="41"/>
      <c r="M41" s="45"/>
    </row>
    <row r="42" spans="1:17" ht="32.25" thickBot="1" x14ac:dyDescent="0.3">
      <c r="A42" s="25" t="s">
        <v>83</v>
      </c>
      <c r="B42" s="26" t="s">
        <v>84</v>
      </c>
      <c r="C42" s="27"/>
      <c r="D42" s="28">
        <f>SUM(D43:D43)</f>
        <v>6.1</v>
      </c>
      <c r="E42" s="28"/>
      <c r="F42" s="28">
        <f>SUM(F43:F43)</f>
        <v>6.1</v>
      </c>
      <c r="G42" s="29">
        <f t="shared" si="0"/>
        <v>0</v>
      </c>
      <c r="H42" s="129"/>
      <c r="I42" s="130"/>
      <c r="J42" s="130"/>
      <c r="K42" s="130"/>
      <c r="L42" s="130"/>
      <c r="M42" s="131"/>
    </row>
    <row r="43" spans="1:17" ht="189.75" thickBot="1" x14ac:dyDescent="0.3">
      <c r="A43" s="64" t="s">
        <v>85</v>
      </c>
      <c r="B43" s="65" t="s">
        <v>86</v>
      </c>
      <c r="C43" s="33" t="s">
        <v>23</v>
      </c>
      <c r="D43" s="66">
        <v>6.1</v>
      </c>
      <c r="E43" s="66"/>
      <c r="F43" s="66">
        <v>6.1</v>
      </c>
      <c r="G43" s="35">
        <f t="shared" si="0"/>
        <v>0</v>
      </c>
      <c r="H43" s="33" t="s">
        <v>87</v>
      </c>
      <c r="I43" s="36" t="s">
        <v>18</v>
      </c>
      <c r="J43" s="37">
        <v>1</v>
      </c>
      <c r="K43" s="38">
        <v>1</v>
      </c>
      <c r="L43" s="33" t="s">
        <v>88</v>
      </c>
      <c r="M43" s="39" t="s">
        <v>1743</v>
      </c>
    </row>
    <row r="44" spans="1:17" ht="48" thickBot="1" x14ac:dyDescent="0.3">
      <c r="A44" s="25" t="s">
        <v>89</v>
      </c>
      <c r="B44" s="26" t="s">
        <v>90</v>
      </c>
      <c r="C44" s="27"/>
      <c r="D44" s="28">
        <f>SUM(D45:D46)</f>
        <v>23.3</v>
      </c>
      <c r="E44" s="28">
        <f>SUM(E45:E46)</f>
        <v>23</v>
      </c>
      <c r="F44" s="28">
        <f>SUM(F45:F46)</f>
        <v>0.3</v>
      </c>
      <c r="G44" s="29">
        <f t="shared" si="0"/>
        <v>0.98712446351931327</v>
      </c>
      <c r="H44" s="129"/>
      <c r="I44" s="130"/>
      <c r="J44" s="130"/>
      <c r="K44" s="130"/>
      <c r="L44" s="130"/>
      <c r="M44" s="131"/>
    </row>
    <row r="45" spans="1:17" ht="111" thickBot="1" x14ac:dyDescent="0.3">
      <c r="A45" s="64" t="s">
        <v>91</v>
      </c>
      <c r="B45" s="65" t="s">
        <v>92</v>
      </c>
      <c r="C45" s="33" t="s">
        <v>23</v>
      </c>
      <c r="D45" s="66">
        <v>13.3</v>
      </c>
      <c r="E45" s="66">
        <v>13.3</v>
      </c>
      <c r="F45" s="66"/>
      <c r="G45" s="35">
        <f t="shared" si="0"/>
        <v>1</v>
      </c>
      <c r="H45" s="33" t="s">
        <v>93</v>
      </c>
      <c r="I45" s="36" t="s">
        <v>18</v>
      </c>
      <c r="J45" s="37">
        <v>2</v>
      </c>
      <c r="K45" s="38">
        <v>2</v>
      </c>
      <c r="L45" s="33" t="s">
        <v>94</v>
      </c>
      <c r="M45" s="39"/>
    </row>
    <row r="46" spans="1:17" ht="95.25" thickBot="1" x14ac:dyDescent="0.3">
      <c r="A46" s="64" t="s">
        <v>95</v>
      </c>
      <c r="B46" s="65" t="s">
        <v>96</v>
      </c>
      <c r="C46" s="33" t="s">
        <v>23</v>
      </c>
      <c r="D46" s="66">
        <v>10</v>
      </c>
      <c r="E46" s="66">
        <v>9.6999999999999993</v>
      </c>
      <c r="F46" s="66">
        <v>0.3</v>
      </c>
      <c r="G46" s="35">
        <f t="shared" si="0"/>
        <v>0.97</v>
      </c>
      <c r="H46" s="33" t="s">
        <v>97</v>
      </c>
      <c r="I46" s="36" t="s">
        <v>18</v>
      </c>
      <c r="J46" s="37">
        <v>6</v>
      </c>
      <c r="K46" s="38">
        <v>6</v>
      </c>
      <c r="L46" s="33" t="s">
        <v>98</v>
      </c>
      <c r="M46" s="39"/>
    </row>
    <row r="47" spans="1:17" ht="41.25" customHeight="1" thickBot="1" x14ac:dyDescent="0.3">
      <c r="A47" s="10" t="s">
        <v>99</v>
      </c>
      <c r="B47" s="11" t="s">
        <v>100</v>
      </c>
      <c r="C47" s="12"/>
      <c r="D47" s="13">
        <f>D48+D107</f>
        <v>9200.8000000000011</v>
      </c>
      <c r="E47" s="13">
        <f>E48+E107</f>
        <v>7396.3000000000011</v>
      </c>
      <c r="F47" s="13">
        <f>F48+F107</f>
        <v>1804.5</v>
      </c>
      <c r="G47" s="14">
        <f t="shared" si="0"/>
        <v>0.80387574993478828</v>
      </c>
      <c r="H47" s="126"/>
      <c r="I47" s="127"/>
      <c r="J47" s="127"/>
      <c r="K47" s="127"/>
      <c r="L47" s="127"/>
      <c r="M47" s="128"/>
      <c r="O47" s="23"/>
      <c r="P47" s="24" t="s">
        <v>1</v>
      </c>
      <c r="Q47" s="24" t="s">
        <v>1924</v>
      </c>
    </row>
    <row r="48" spans="1:17" ht="63.75" customHeight="1" x14ac:dyDescent="0.25">
      <c r="A48" s="157" t="s">
        <v>101</v>
      </c>
      <c r="B48" s="160" t="s">
        <v>102</v>
      </c>
      <c r="C48" s="17"/>
      <c r="D48" s="18">
        <f>D49+D50+D51+D80</f>
        <v>8693.2000000000007</v>
      </c>
      <c r="E48" s="18">
        <f>E49+E50+E51+E80</f>
        <v>7200.5000000000009</v>
      </c>
      <c r="F48" s="18">
        <f>F49+F50+F51+F80</f>
        <v>1492.7</v>
      </c>
      <c r="G48" s="19">
        <f t="shared" si="0"/>
        <v>0.82829107808401969</v>
      </c>
      <c r="H48" s="17" t="s">
        <v>103</v>
      </c>
      <c r="I48" s="20" t="s">
        <v>27</v>
      </c>
      <c r="J48" s="21">
        <v>1.5</v>
      </c>
      <c r="K48" s="21">
        <v>3.2</v>
      </c>
      <c r="L48" s="17"/>
      <c r="M48" s="22"/>
      <c r="O48" s="30"/>
      <c r="P48" s="31" t="s">
        <v>1712</v>
      </c>
      <c r="Q48" s="32">
        <v>7</v>
      </c>
    </row>
    <row r="49" spans="1:17" ht="47.25" x14ac:dyDescent="0.25">
      <c r="A49" s="158"/>
      <c r="B49" s="161"/>
      <c r="C49" s="67"/>
      <c r="D49" s="68"/>
      <c r="E49" s="68"/>
      <c r="F49" s="68"/>
      <c r="G49" s="68"/>
      <c r="H49" s="67" t="s">
        <v>104</v>
      </c>
      <c r="I49" s="69" t="s">
        <v>27</v>
      </c>
      <c r="J49" s="70">
        <v>1.5</v>
      </c>
      <c r="K49" s="70">
        <v>3.2</v>
      </c>
      <c r="L49" s="67"/>
      <c r="M49" s="71"/>
      <c r="O49" s="40"/>
      <c r="P49" s="31" t="s">
        <v>1713</v>
      </c>
      <c r="Q49" s="32">
        <v>1</v>
      </c>
    </row>
    <row r="50" spans="1:17" ht="158.25" thickBot="1" x14ac:dyDescent="0.3">
      <c r="A50" s="159"/>
      <c r="B50" s="162"/>
      <c r="C50" s="67"/>
      <c r="D50" s="68"/>
      <c r="E50" s="68"/>
      <c r="F50" s="68"/>
      <c r="G50" s="68"/>
      <c r="H50" s="67" t="s">
        <v>105</v>
      </c>
      <c r="I50" s="69" t="s">
        <v>18</v>
      </c>
      <c r="J50" s="70">
        <v>2</v>
      </c>
      <c r="K50" s="70">
        <v>1</v>
      </c>
      <c r="L50" s="67"/>
      <c r="M50" s="71" t="s">
        <v>1744</v>
      </c>
      <c r="O50" s="1"/>
      <c r="P50" s="2" t="s">
        <v>1714</v>
      </c>
      <c r="Q50" s="48">
        <v>3</v>
      </c>
    </row>
    <row r="51" spans="1:17" ht="95.25" thickBot="1" x14ac:dyDescent="0.3">
      <c r="A51" s="25" t="s">
        <v>106</v>
      </c>
      <c r="B51" s="26" t="s">
        <v>107</v>
      </c>
      <c r="C51" s="27"/>
      <c r="D51" s="28">
        <f>D52+D53+D54+D56</f>
        <v>624.29999999999995</v>
      </c>
      <c r="E51" s="28">
        <f>E52+E53+E54+E56</f>
        <v>624.19999999999993</v>
      </c>
      <c r="F51" s="28">
        <f>F52+F53+F54+F56</f>
        <v>0.1</v>
      </c>
      <c r="G51" s="29">
        <f>SUM(E51/D51)</f>
        <v>0.99983982059907095</v>
      </c>
      <c r="H51" s="129"/>
      <c r="I51" s="130"/>
      <c r="J51" s="130"/>
      <c r="K51" s="130"/>
      <c r="L51" s="130"/>
      <c r="M51" s="131"/>
      <c r="O51" s="50"/>
      <c r="P51" s="31" t="s">
        <v>1716</v>
      </c>
      <c r="Q51" s="51">
        <v>3</v>
      </c>
    </row>
    <row r="52" spans="1:17" ht="111" thickBot="1" x14ac:dyDescent="0.3">
      <c r="A52" s="64" t="s">
        <v>108</v>
      </c>
      <c r="B52" s="65" t="s">
        <v>109</v>
      </c>
      <c r="C52" s="33" t="s">
        <v>23</v>
      </c>
      <c r="D52" s="66">
        <v>41.7</v>
      </c>
      <c r="E52" s="66">
        <v>41.7</v>
      </c>
      <c r="F52" s="66"/>
      <c r="G52" s="35">
        <f>SUM(E52/D52)</f>
        <v>1</v>
      </c>
      <c r="H52" s="33" t="s">
        <v>110</v>
      </c>
      <c r="I52" s="36" t="s">
        <v>18</v>
      </c>
      <c r="J52" s="37">
        <v>30</v>
      </c>
      <c r="K52" s="60">
        <v>31</v>
      </c>
      <c r="L52" s="33" t="s">
        <v>111</v>
      </c>
      <c r="M52" s="39"/>
      <c r="O52" s="52"/>
      <c r="P52" s="31" t="s">
        <v>1717</v>
      </c>
      <c r="Q52" s="48">
        <v>3</v>
      </c>
    </row>
    <row r="53" spans="1:17" ht="95.25" thickBot="1" x14ac:dyDescent="0.3">
      <c r="A53" s="64" t="s">
        <v>112</v>
      </c>
      <c r="B53" s="65" t="s">
        <v>113</v>
      </c>
      <c r="C53" s="33" t="s">
        <v>23</v>
      </c>
      <c r="D53" s="66">
        <v>26.2</v>
      </c>
      <c r="E53" s="66">
        <v>26.2</v>
      </c>
      <c r="F53" s="66"/>
      <c r="G53" s="35">
        <f>SUM(E53/D53)</f>
        <v>1</v>
      </c>
      <c r="H53" s="33" t="s">
        <v>114</v>
      </c>
      <c r="I53" s="36" t="s">
        <v>18</v>
      </c>
      <c r="J53" s="37">
        <v>11</v>
      </c>
      <c r="K53" s="38">
        <v>11</v>
      </c>
      <c r="L53" s="33" t="s">
        <v>115</v>
      </c>
      <c r="M53" s="39"/>
      <c r="O53" s="23"/>
      <c r="P53" s="55" t="s">
        <v>1715</v>
      </c>
      <c r="Q53" s="48">
        <f>+SUM(Q48:Q52)</f>
        <v>17</v>
      </c>
    </row>
    <row r="54" spans="1:17" ht="110.25" x14ac:dyDescent="0.25">
      <c r="A54" s="151" t="s">
        <v>116</v>
      </c>
      <c r="B54" s="154" t="s">
        <v>117</v>
      </c>
      <c r="C54" s="33" t="s">
        <v>23</v>
      </c>
      <c r="D54" s="34">
        <f>SUM(D55:D55)+250</f>
        <v>250</v>
      </c>
      <c r="E54" s="34">
        <f>SUM(E55:E55)+250</f>
        <v>250</v>
      </c>
      <c r="F54" s="34"/>
      <c r="G54" s="35">
        <f>SUM(E54/D54)</f>
        <v>1</v>
      </c>
      <c r="H54" s="33" t="s">
        <v>118</v>
      </c>
      <c r="I54" s="36" t="s">
        <v>18</v>
      </c>
      <c r="J54" s="37">
        <v>7</v>
      </c>
      <c r="K54" s="38">
        <v>7</v>
      </c>
      <c r="L54" s="33" t="s">
        <v>119</v>
      </c>
      <c r="M54" s="39"/>
    </row>
    <row r="55" spans="1:17" ht="252.75" thickBot="1" x14ac:dyDescent="0.3">
      <c r="A55" s="153"/>
      <c r="B55" s="156"/>
      <c r="C55" s="41"/>
      <c r="D55" s="42"/>
      <c r="E55" s="42"/>
      <c r="F55" s="42"/>
      <c r="G55" s="42"/>
      <c r="H55" s="41" t="s">
        <v>120</v>
      </c>
      <c r="I55" s="43" t="s">
        <v>18</v>
      </c>
      <c r="J55" s="44">
        <v>1</v>
      </c>
      <c r="K55" s="47">
        <v>1</v>
      </c>
      <c r="L55" s="41" t="s">
        <v>121</v>
      </c>
      <c r="M55" s="45"/>
    </row>
    <row r="56" spans="1:17" ht="204.75" x14ac:dyDescent="0.25">
      <c r="A56" s="151" t="s">
        <v>122</v>
      </c>
      <c r="B56" s="154" t="s">
        <v>123</v>
      </c>
      <c r="C56" s="33"/>
      <c r="D56" s="34">
        <f>D57+D58+D59+D60+D61+D62+D63+D78+D79</f>
        <v>306.39999999999998</v>
      </c>
      <c r="E56" s="34">
        <f>E57+E58+E59+E60+E61+E62+E63+E78+E79-0.1</f>
        <v>306.29999999999995</v>
      </c>
      <c r="F56" s="34">
        <f>F57+F58+F59+F60+F61+F62+F63+F78+F79+0.1</f>
        <v>0.1</v>
      </c>
      <c r="G56" s="35">
        <f>SUM(E56/D56)</f>
        <v>0.99967362924281977</v>
      </c>
      <c r="H56" s="33" t="s">
        <v>124</v>
      </c>
      <c r="I56" s="36" t="s">
        <v>18</v>
      </c>
      <c r="J56" s="37">
        <v>1</v>
      </c>
      <c r="K56" s="38">
        <v>1</v>
      </c>
      <c r="L56" s="33" t="s">
        <v>125</v>
      </c>
      <c r="M56" s="39" t="s">
        <v>126</v>
      </c>
    </row>
    <row r="57" spans="1:17" ht="204.75" x14ac:dyDescent="0.25">
      <c r="A57" s="152"/>
      <c r="B57" s="155"/>
      <c r="C57" s="41"/>
      <c r="D57" s="42"/>
      <c r="E57" s="42"/>
      <c r="F57" s="42"/>
      <c r="G57" s="42"/>
      <c r="H57" s="41" t="s">
        <v>127</v>
      </c>
      <c r="I57" s="43" t="s">
        <v>18</v>
      </c>
      <c r="J57" s="44">
        <v>8</v>
      </c>
      <c r="K57" s="63">
        <v>9</v>
      </c>
      <c r="L57" s="41" t="s">
        <v>128</v>
      </c>
      <c r="M57" s="45"/>
    </row>
    <row r="58" spans="1:17" ht="126" x14ac:dyDescent="0.25">
      <c r="A58" s="152"/>
      <c r="B58" s="155"/>
      <c r="C58" s="41"/>
      <c r="D58" s="42"/>
      <c r="E58" s="42"/>
      <c r="F58" s="42"/>
      <c r="G58" s="42"/>
      <c r="H58" s="41" t="s">
        <v>129</v>
      </c>
      <c r="I58" s="43" t="s">
        <v>18</v>
      </c>
      <c r="J58" s="44">
        <v>40</v>
      </c>
      <c r="K58" s="72">
        <v>32</v>
      </c>
      <c r="L58" s="41" t="s">
        <v>130</v>
      </c>
      <c r="M58" s="45" t="s">
        <v>1745</v>
      </c>
    </row>
    <row r="59" spans="1:17" ht="157.5" x14ac:dyDescent="0.25">
      <c r="A59" s="152"/>
      <c r="B59" s="155"/>
      <c r="C59" s="41"/>
      <c r="D59" s="42"/>
      <c r="E59" s="42"/>
      <c r="F59" s="42"/>
      <c r="G59" s="42"/>
      <c r="H59" s="41" t="s">
        <v>131</v>
      </c>
      <c r="I59" s="43" t="s">
        <v>18</v>
      </c>
      <c r="J59" s="44">
        <v>12</v>
      </c>
      <c r="K59" s="63">
        <v>13</v>
      </c>
      <c r="L59" s="41" t="s">
        <v>132</v>
      </c>
      <c r="M59" s="45"/>
    </row>
    <row r="60" spans="1:17" ht="157.5" x14ac:dyDescent="0.25">
      <c r="A60" s="152"/>
      <c r="B60" s="155"/>
      <c r="C60" s="41"/>
      <c r="D60" s="42"/>
      <c r="E60" s="42"/>
      <c r="F60" s="42"/>
      <c r="G60" s="42"/>
      <c r="H60" s="41" t="s">
        <v>133</v>
      </c>
      <c r="I60" s="43" t="s">
        <v>18</v>
      </c>
      <c r="J60" s="44">
        <v>3</v>
      </c>
      <c r="K60" s="47">
        <v>3</v>
      </c>
      <c r="L60" s="41" t="s">
        <v>134</v>
      </c>
      <c r="M60" s="45"/>
    </row>
    <row r="61" spans="1:17" ht="157.5" x14ac:dyDescent="0.25">
      <c r="A61" s="152"/>
      <c r="B61" s="155"/>
      <c r="C61" s="41"/>
      <c r="D61" s="42"/>
      <c r="E61" s="42"/>
      <c r="F61" s="42"/>
      <c r="G61" s="42"/>
      <c r="H61" s="41" t="s">
        <v>135</v>
      </c>
      <c r="I61" s="43" t="s">
        <v>18</v>
      </c>
      <c r="J61" s="44">
        <v>31</v>
      </c>
      <c r="K61" s="63">
        <v>38</v>
      </c>
      <c r="L61" s="41" t="s">
        <v>136</v>
      </c>
      <c r="M61" s="45"/>
    </row>
    <row r="62" spans="1:17" ht="63.75" thickBot="1" x14ac:dyDescent="0.3">
      <c r="A62" s="153"/>
      <c r="B62" s="156"/>
      <c r="C62" s="41"/>
      <c r="D62" s="42"/>
      <c r="E62" s="42"/>
      <c r="F62" s="42"/>
      <c r="G62" s="42"/>
      <c r="H62" s="41" t="s">
        <v>137</v>
      </c>
      <c r="I62" s="43" t="s">
        <v>18</v>
      </c>
      <c r="J62" s="44">
        <v>10</v>
      </c>
      <c r="K62" s="63">
        <v>12</v>
      </c>
      <c r="L62" s="41" t="s">
        <v>138</v>
      </c>
      <c r="M62" s="45"/>
    </row>
    <row r="63" spans="1:17" ht="78.75" x14ac:dyDescent="0.25">
      <c r="A63" s="151" t="s">
        <v>139</v>
      </c>
      <c r="B63" s="154" t="s">
        <v>140</v>
      </c>
      <c r="C63" s="33" t="s">
        <v>23</v>
      </c>
      <c r="D63" s="34">
        <f>SUM(D64:D77)+254.4</f>
        <v>254.4</v>
      </c>
      <c r="E63" s="34">
        <f>SUM(E64:E77)+254.4</f>
        <v>254.4</v>
      </c>
      <c r="F63" s="34"/>
      <c r="G63" s="35">
        <f>SUM(E63/D63)</f>
        <v>1</v>
      </c>
      <c r="H63" s="33" t="s">
        <v>141</v>
      </c>
      <c r="I63" s="36" t="s">
        <v>18</v>
      </c>
      <c r="J63" s="37">
        <v>1</v>
      </c>
      <c r="K63" s="38">
        <v>1</v>
      </c>
      <c r="L63" s="33" t="s">
        <v>142</v>
      </c>
      <c r="M63" s="39"/>
    </row>
    <row r="64" spans="1:17" ht="63" x14ac:dyDescent="0.25">
      <c r="A64" s="152"/>
      <c r="B64" s="155"/>
      <c r="C64" s="41"/>
      <c r="D64" s="42"/>
      <c r="E64" s="42"/>
      <c r="F64" s="42"/>
      <c r="G64" s="42"/>
      <c r="H64" s="41" t="s">
        <v>143</v>
      </c>
      <c r="I64" s="43" t="s">
        <v>18</v>
      </c>
      <c r="J64" s="44">
        <v>1</v>
      </c>
      <c r="K64" s="47">
        <v>1</v>
      </c>
      <c r="L64" s="41" t="s">
        <v>144</v>
      </c>
      <c r="M64" s="45"/>
    </row>
    <row r="65" spans="1:13" ht="94.5" x14ac:dyDescent="0.25">
      <c r="A65" s="152"/>
      <c r="B65" s="155"/>
      <c r="C65" s="41"/>
      <c r="D65" s="42"/>
      <c r="E65" s="42"/>
      <c r="F65" s="42"/>
      <c r="G65" s="42"/>
      <c r="H65" s="41" t="s">
        <v>145</v>
      </c>
      <c r="I65" s="43" t="s">
        <v>18</v>
      </c>
      <c r="J65" s="44">
        <v>1</v>
      </c>
      <c r="K65" s="47">
        <v>1</v>
      </c>
      <c r="L65" s="41" t="s">
        <v>146</v>
      </c>
      <c r="M65" s="45"/>
    </row>
    <row r="66" spans="1:13" ht="110.25" x14ac:dyDescent="0.25">
      <c r="A66" s="152"/>
      <c r="B66" s="155"/>
      <c r="C66" s="41"/>
      <c r="D66" s="42"/>
      <c r="E66" s="42"/>
      <c r="F66" s="42"/>
      <c r="G66" s="42"/>
      <c r="H66" s="41" t="s">
        <v>147</v>
      </c>
      <c r="I66" s="43" t="s">
        <v>18</v>
      </c>
      <c r="J66" s="44">
        <v>1</v>
      </c>
      <c r="K66" s="47">
        <v>1</v>
      </c>
      <c r="L66" s="41" t="s">
        <v>148</v>
      </c>
      <c r="M66" s="45"/>
    </row>
    <row r="67" spans="1:13" ht="63" x14ac:dyDescent="0.25">
      <c r="A67" s="152"/>
      <c r="B67" s="155"/>
      <c r="C67" s="41"/>
      <c r="D67" s="42"/>
      <c r="E67" s="42"/>
      <c r="F67" s="42"/>
      <c r="G67" s="42"/>
      <c r="H67" s="41" t="s">
        <v>149</v>
      </c>
      <c r="I67" s="43" t="s">
        <v>18</v>
      </c>
      <c r="J67" s="44">
        <v>1</v>
      </c>
      <c r="K67" s="47">
        <v>1</v>
      </c>
      <c r="L67" s="41" t="s">
        <v>150</v>
      </c>
      <c r="M67" s="45"/>
    </row>
    <row r="68" spans="1:13" ht="78.75" x14ac:dyDescent="0.25">
      <c r="A68" s="152"/>
      <c r="B68" s="155"/>
      <c r="C68" s="41"/>
      <c r="D68" s="42"/>
      <c r="E68" s="42"/>
      <c r="F68" s="42"/>
      <c r="G68" s="42"/>
      <c r="H68" s="41" t="s">
        <v>151</v>
      </c>
      <c r="I68" s="43" t="s">
        <v>18</v>
      </c>
      <c r="J68" s="44">
        <v>1</v>
      </c>
      <c r="K68" s="47">
        <v>1</v>
      </c>
      <c r="L68" s="41" t="s">
        <v>152</v>
      </c>
      <c r="M68" s="45"/>
    </row>
    <row r="69" spans="1:13" ht="63" x14ac:dyDescent="0.25">
      <c r="A69" s="152"/>
      <c r="B69" s="155"/>
      <c r="C69" s="41"/>
      <c r="D69" s="42"/>
      <c r="E69" s="42"/>
      <c r="F69" s="42"/>
      <c r="G69" s="42"/>
      <c r="H69" s="41" t="s">
        <v>153</v>
      </c>
      <c r="I69" s="43" t="s">
        <v>18</v>
      </c>
      <c r="J69" s="44">
        <v>1</v>
      </c>
      <c r="K69" s="47">
        <v>1</v>
      </c>
      <c r="L69" s="41" t="s">
        <v>154</v>
      </c>
      <c r="M69" s="45"/>
    </row>
    <row r="70" spans="1:13" ht="63" x14ac:dyDescent="0.25">
      <c r="A70" s="152"/>
      <c r="B70" s="155"/>
      <c r="C70" s="41"/>
      <c r="D70" s="42"/>
      <c r="E70" s="42"/>
      <c r="F70" s="42"/>
      <c r="G70" s="42"/>
      <c r="H70" s="41" t="s">
        <v>155</v>
      </c>
      <c r="I70" s="43" t="s">
        <v>18</v>
      </c>
      <c r="J70" s="44">
        <v>1</v>
      </c>
      <c r="K70" s="47">
        <v>1</v>
      </c>
      <c r="L70" s="41" t="s">
        <v>156</v>
      </c>
      <c r="M70" s="45"/>
    </row>
    <row r="71" spans="1:13" ht="94.5" x14ac:dyDescent="0.25">
      <c r="A71" s="152"/>
      <c r="B71" s="155"/>
      <c r="C71" s="41"/>
      <c r="D71" s="42"/>
      <c r="E71" s="42"/>
      <c r="F71" s="42"/>
      <c r="G71" s="42"/>
      <c r="H71" s="41" t="s">
        <v>157</v>
      </c>
      <c r="I71" s="43" t="s">
        <v>18</v>
      </c>
      <c r="J71" s="44">
        <v>1</v>
      </c>
      <c r="K71" s="47">
        <v>1</v>
      </c>
      <c r="L71" s="41" t="s">
        <v>158</v>
      </c>
      <c r="M71" s="45"/>
    </row>
    <row r="72" spans="1:13" ht="173.25" x14ac:dyDescent="0.25">
      <c r="A72" s="152"/>
      <c r="B72" s="155"/>
      <c r="C72" s="41"/>
      <c r="D72" s="42"/>
      <c r="E72" s="42"/>
      <c r="F72" s="42"/>
      <c r="G72" s="42"/>
      <c r="H72" s="41" t="s">
        <v>159</v>
      </c>
      <c r="I72" s="43" t="s">
        <v>18</v>
      </c>
      <c r="J72" s="44">
        <v>1</v>
      </c>
      <c r="K72" s="47">
        <v>1</v>
      </c>
      <c r="L72" s="41" t="s">
        <v>160</v>
      </c>
      <c r="M72" s="45"/>
    </row>
    <row r="73" spans="1:13" ht="126" x14ac:dyDescent="0.25">
      <c r="A73" s="152"/>
      <c r="B73" s="155"/>
      <c r="C73" s="41"/>
      <c r="D73" s="42"/>
      <c r="E73" s="42"/>
      <c r="F73" s="42"/>
      <c r="G73" s="42"/>
      <c r="H73" s="41" t="s">
        <v>161</v>
      </c>
      <c r="I73" s="43" t="s">
        <v>18</v>
      </c>
      <c r="J73" s="44">
        <v>1</v>
      </c>
      <c r="K73" s="47">
        <v>1</v>
      </c>
      <c r="L73" s="41" t="s">
        <v>162</v>
      </c>
      <c r="M73" s="45"/>
    </row>
    <row r="74" spans="1:13" ht="126" x14ac:dyDescent="0.25">
      <c r="A74" s="152"/>
      <c r="B74" s="155"/>
      <c r="C74" s="41"/>
      <c r="D74" s="42"/>
      <c r="E74" s="42"/>
      <c r="F74" s="42"/>
      <c r="G74" s="42"/>
      <c r="H74" s="41" t="s">
        <v>163</v>
      </c>
      <c r="I74" s="43" t="s">
        <v>18</v>
      </c>
      <c r="J74" s="44">
        <v>1</v>
      </c>
      <c r="K74" s="47">
        <v>1</v>
      </c>
      <c r="L74" s="41" t="s">
        <v>164</v>
      </c>
      <c r="M74" s="45"/>
    </row>
    <row r="75" spans="1:13" ht="157.5" x14ac:dyDescent="0.25">
      <c r="A75" s="152"/>
      <c r="B75" s="155"/>
      <c r="C75" s="41"/>
      <c r="D75" s="42"/>
      <c r="E75" s="42"/>
      <c r="F75" s="42"/>
      <c r="G75" s="42"/>
      <c r="H75" s="41" t="s">
        <v>131</v>
      </c>
      <c r="I75" s="43" t="s">
        <v>18</v>
      </c>
      <c r="J75" s="44">
        <v>12</v>
      </c>
      <c r="K75" s="63">
        <v>13</v>
      </c>
      <c r="L75" s="41" t="s">
        <v>165</v>
      </c>
      <c r="M75" s="45"/>
    </row>
    <row r="76" spans="1:13" ht="157.5" x14ac:dyDescent="0.25">
      <c r="A76" s="152"/>
      <c r="B76" s="155"/>
      <c r="C76" s="41"/>
      <c r="D76" s="42"/>
      <c r="E76" s="42"/>
      <c r="F76" s="42"/>
      <c r="G76" s="42"/>
      <c r="H76" s="41" t="s">
        <v>135</v>
      </c>
      <c r="I76" s="43" t="s">
        <v>18</v>
      </c>
      <c r="J76" s="44">
        <v>31</v>
      </c>
      <c r="K76" s="63">
        <v>38</v>
      </c>
      <c r="L76" s="41" t="s">
        <v>136</v>
      </c>
      <c r="M76" s="45"/>
    </row>
    <row r="77" spans="1:13" ht="142.5" thickBot="1" x14ac:dyDescent="0.3">
      <c r="A77" s="153"/>
      <c r="B77" s="156"/>
      <c r="C77" s="41"/>
      <c r="D77" s="42"/>
      <c r="E77" s="42"/>
      <c r="F77" s="42"/>
      <c r="G77" s="42"/>
      <c r="H77" s="41" t="s">
        <v>166</v>
      </c>
      <c r="I77" s="43" t="s">
        <v>18</v>
      </c>
      <c r="J77" s="44">
        <v>10</v>
      </c>
      <c r="K77" s="63">
        <v>12</v>
      </c>
      <c r="L77" s="41" t="s">
        <v>167</v>
      </c>
      <c r="M77" s="45" t="s">
        <v>168</v>
      </c>
    </row>
    <row r="78" spans="1:13" ht="142.5" thickBot="1" x14ac:dyDescent="0.3">
      <c r="A78" s="64" t="s">
        <v>169</v>
      </c>
      <c r="B78" s="65" t="s">
        <v>170</v>
      </c>
      <c r="C78" s="33" t="s">
        <v>23</v>
      </c>
      <c r="D78" s="66">
        <v>46</v>
      </c>
      <c r="E78" s="66">
        <v>46</v>
      </c>
      <c r="F78" s="66"/>
      <c r="G78" s="35">
        <f t="shared" ref="G78:G87" si="1">SUM(E78/D78)</f>
        <v>1</v>
      </c>
      <c r="H78" s="33" t="s">
        <v>129</v>
      </c>
      <c r="I78" s="36" t="s">
        <v>18</v>
      </c>
      <c r="J78" s="37">
        <v>28</v>
      </c>
      <c r="K78" s="60">
        <v>32</v>
      </c>
      <c r="L78" s="33" t="s">
        <v>167</v>
      </c>
      <c r="M78" s="39" t="s">
        <v>1746</v>
      </c>
    </row>
    <row r="79" spans="1:13" ht="79.5" thickBot="1" x14ac:dyDescent="0.3">
      <c r="A79" s="64" t="s">
        <v>171</v>
      </c>
      <c r="B79" s="65" t="s">
        <v>172</v>
      </c>
      <c r="C79" s="33" t="s">
        <v>23</v>
      </c>
      <c r="D79" s="66">
        <v>6</v>
      </c>
      <c r="E79" s="66">
        <v>6</v>
      </c>
      <c r="F79" s="66"/>
      <c r="G79" s="35">
        <f t="shared" si="1"/>
        <v>1</v>
      </c>
      <c r="H79" s="33" t="s">
        <v>173</v>
      </c>
      <c r="I79" s="36" t="s">
        <v>18</v>
      </c>
      <c r="J79" s="37">
        <v>1</v>
      </c>
      <c r="K79" s="38">
        <v>1</v>
      </c>
      <c r="L79" s="33" t="s">
        <v>174</v>
      </c>
      <c r="M79" s="39"/>
    </row>
    <row r="80" spans="1:13" ht="48" thickBot="1" x14ac:dyDescent="0.3">
      <c r="A80" s="25" t="s">
        <v>175</v>
      </c>
      <c r="B80" s="26" t="s">
        <v>176</v>
      </c>
      <c r="C80" s="27"/>
      <c r="D80" s="28">
        <f>D81+D92+D95+D99+D101+D104+D106</f>
        <v>8068.9000000000015</v>
      </c>
      <c r="E80" s="28">
        <f>E81+E92+E95+E99+E101+E104+E106</f>
        <v>6576.3000000000011</v>
      </c>
      <c r="F80" s="28">
        <f>F81+F92+F95+F99+F101+F104+F106</f>
        <v>1492.6000000000001</v>
      </c>
      <c r="G80" s="29">
        <f t="shared" si="1"/>
        <v>0.81501815613032758</v>
      </c>
      <c r="H80" s="129"/>
      <c r="I80" s="130"/>
      <c r="J80" s="130"/>
      <c r="K80" s="130"/>
      <c r="L80" s="130"/>
      <c r="M80" s="131"/>
    </row>
    <row r="81" spans="1:13" ht="173.25" x14ac:dyDescent="0.25">
      <c r="A81" s="151" t="s">
        <v>177</v>
      </c>
      <c r="B81" s="154" t="s">
        <v>178</v>
      </c>
      <c r="C81" s="33"/>
      <c r="D81" s="34">
        <f>SUM(D82:D91)</f>
        <v>5043.7000000000007</v>
      </c>
      <c r="E81" s="34">
        <f>SUM(E82:E91)</f>
        <v>4913.5000000000009</v>
      </c>
      <c r="F81" s="34">
        <f>SUM(F82:F91)-0.1</f>
        <v>130.1</v>
      </c>
      <c r="G81" s="53">
        <f t="shared" si="1"/>
        <v>0.97418561770129075</v>
      </c>
      <c r="H81" s="33" t="s">
        <v>179</v>
      </c>
      <c r="I81" s="36" t="s">
        <v>18</v>
      </c>
      <c r="J81" s="37">
        <v>61</v>
      </c>
      <c r="K81" s="60">
        <v>71</v>
      </c>
      <c r="L81" s="33" t="s">
        <v>180</v>
      </c>
      <c r="M81" s="39" t="s">
        <v>1747</v>
      </c>
    </row>
    <row r="82" spans="1:13" ht="63" x14ac:dyDescent="0.25">
      <c r="A82" s="152"/>
      <c r="B82" s="155"/>
      <c r="C82" s="41" t="s">
        <v>23</v>
      </c>
      <c r="D82" s="42">
        <v>4308.8</v>
      </c>
      <c r="E82" s="42">
        <v>4298.8</v>
      </c>
      <c r="F82" s="42">
        <v>10</v>
      </c>
      <c r="G82" s="57">
        <f t="shared" si="1"/>
        <v>0.99767916821388791</v>
      </c>
      <c r="H82" s="58" t="s">
        <v>181</v>
      </c>
      <c r="I82" s="43" t="s">
        <v>18</v>
      </c>
      <c r="J82" s="44">
        <v>177</v>
      </c>
      <c r="K82" s="63">
        <v>230</v>
      </c>
      <c r="L82" s="41" t="s">
        <v>182</v>
      </c>
      <c r="M82" s="45"/>
    </row>
    <row r="83" spans="1:13" ht="78.75" x14ac:dyDescent="0.25">
      <c r="A83" s="152"/>
      <c r="B83" s="155"/>
      <c r="C83" s="41" t="s">
        <v>183</v>
      </c>
      <c r="D83" s="42">
        <v>222.1</v>
      </c>
      <c r="E83" s="42">
        <v>151.6</v>
      </c>
      <c r="F83" s="42">
        <v>70.5</v>
      </c>
      <c r="G83" s="57">
        <f t="shared" si="1"/>
        <v>0.6825754164790635</v>
      </c>
      <c r="H83" s="58" t="s">
        <v>184</v>
      </c>
      <c r="I83" s="43" t="s">
        <v>18</v>
      </c>
      <c r="J83" s="44">
        <v>664</v>
      </c>
      <c r="K83" s="63">
        <v>1979</v>
      </c>
      <c r="L83" s="41" t="s">
        <v>185</v>
      </c>
      <c r="M83" s="45"/>
    </row>
    <row r="84" spans="1:13" ht="94.5" x14ac:dyDescent="0.25">
      <c r="A84" s="152"/>
      <c r="B84" s="155"/>
      <c r="C84" s="41" t="s">
        <v>186</v>
      </c>
      <c r="D84" s="42">
        <v>185.8</v>
      </c>
      <c r="E84" s="42">
        <v>165.5</v>
      </c>
      <c r="F84" s="42">
        <v>20.3</v>
      </c>
      <c r="G84" s="73">
        <f t="shared" si="1"/>
        <v>0.89074273412271254</v>
      </c>
      <c r="H84" s="41" t="s">
        <v>187</v>
      </c>
      <c r="I84" s="43" t="s">
        <v>18</v>
      </c>
      <c r="J84" s="44">
        <v>29</v>
      </c>
      <c r="K84" s="63">
        <v>32</v>
      </c>
      <c r="L84" s="41" t="s">
        <v>188</v>
      </c>
      <c r="M84" s="45"/>
    </row>
    <row r="85" spans="1:13" ht="78.75" x14ac:dyDescent="0.25">
      <c r="A85" s="152"/>
      <c r="B85" s="155"/>
      <c r="C85" s="41" t="s">
        <v>189</v>
      </c>
      <c r="D85" s="42">
        <v>203.4</v>
      </c>
      <c r="E85" s="42">
        <v>178.1</v>
      </c>
      <c r="F85" s="42">
        <v>25.3</v>
      </c>
      <c r="G85" s="57">
        <f t="shared" si="1"/>
        <v>0.87561455260570298</v>
      </c>
      <c r="H85" s="58" t="s">
        <v>190</v>
      </c>
      <c r="I85" s="43" t="s">
        <v>18</v>
      </c>
      <c r="J85" s="44">
        <v>156600</v>
      </c>
      <c r="K85" s="63">
        <v>206958</v>
      </c>
      <c r="L85" s="41" t="s">
        <v>191</v>
      </c>
      <c r="M85" s="45"/>
    </row>
    <row r="86" spans="1:13" ht="63" x14ac:dyDescent="0.25">
      <c r="A86" s="152"/>
      <c r="B86" s="155"/>
      <c r="C86" s="41" t="s">
        <v>37</v>
      </c>
      <c r="D86" s="42">
        <v>83.6</v>
      </c>
      <c r="E86" s="42">
        <v>79.5</v>
      </c>
      <c r="F86" s="42">
        <v>4.0999999999999996</v>
      </c>
      <c r="G86" s="57">
        <f t="shared" si="1"/>
        <v>0.95095693779904311</v>
      </c>
      <c r="H86" s="58" t="s">
        <v>192</v>
      </c>
      <c r="I86" s="43" t="s">
        <v>18</v>
      </c>
      <c r="J86" s="44">
        <v>119900</v>
      </c>
      <c r="K86" s="63">
        <v>276484</v>
      </c>
      <c r="L86" s="41" t="s">
        <v>193</v>
      </c>
      <c r="M86" s="45"/>
    </row>
    <row r="87" spans="1:13" ht="141.75" x14ac:dyDescent="0.25">
      <c r="A87" s="152"/>
      <c r="B87" s="155"/>
      <c r="C87" s="41" t="s">
        <v>78</v>
      </c>
      <c r="D87" s="42">
        <v>40</v>
      </c>
      <c r="E87" s="42">
        <v>40</v>
      </c>
      <c r="F87" s="42"/>
      <c r="G87" s="61">
        <f t="shared" si="1"/>
        <v>1</v>
      </c>
      <c r="H87" s="41" t="s">
        <v>194</v>
      </c>
      <c r="I87" s="43" t="s">
        <v>18</v>
      </c>
      <c r="J87" s="44">
        <v>11100</v>
      </c>
      <c r="K87" s="63">
        <v>22332</v>
      </c>
      <c r="L87" s="41" t="s">
        <v>195</v>
      </c>
      <c r="M87" s="45"/>
    </row>
    <row r="88" spans="1:13" ht="63" x14ac:dyDescent="0.25">
      <c r="A88" s="152"/>
      <c r="B88" s="155"/>
      <c r="C88" s="41"/>
      <c r="D88" s="42"/>
      <c r="E88" s="42"/>
      <c r="F88" s="42"/>
      <c r="G88" s="42"/>
      <c r="H88" s="41" t="s">
        <v>196</v>
      </c>
      <c r="I88" s="43" t="s">
        <v>18</v>
      </c>
      <c r="J88" s="44">
        <v>12300</v>
      </c>
      <c r="K88" s="63">
        <v>38348</v>
      </c>
      <c r="L88" s="41" t="s">
        <v>197</v>
      </c>
      <c r="M88" s="45"/>
    </row>
    <row r="89" spans="1:13" ht="47.25" x14ac:dyDescent="0.25">
      <c r="A89" s="152"/>
      <c r="B89" s="155"/>
      <c r="C89" s="41"/>
      <c r="D89" s="42"/>
      <c r="E89" s="42"/>
      <c r="F89" s="42"/>
      <c r="G89" s="42"/>
      <c r="H89" s="41" t="s">
        <v>198</v>
      </c>
      <c r="I89" s="43" t="s">
        <v>18</v>
      </c>
      <c r="J89" s="44">
        <v>2500</v>
      </c>
      <c r="K89" s="63">
        <v>5678</v>
      </c>
      <c r="L89" s="41" t="s">
        <v>199</v>
      </c>
      <c r="M89" s="45"/>
    </row>
    <row r="90" spans="1:13" ht="110.25" x14ac:dyDescent="0.25">
      <c r="A90" s="152"/>
      <c r="B90" s="155"/>
      <c r="C90" s="41"/>
      <c r="D90" s="42"/>
      <c r="E90" s="42"/>
      <c r="F90" s="42"/>
      <c r="G90" s="42"/>
      <c r="H90" s="41" t="s">
        <v>200</v>
      </c>
      <c r="I90" s="43" t="s">
        <v>18</v>
      </c>
      <c r="J90" s="44">
        <v>533</v>
      </c>
      <c r="K90" s="63">
        <v>940</v>
      </c>
      <c r="L90" s="41" t="s">
        <v>201</v>
      </c>
      <c r="M90" s="45"/>
    </row>
    <row r="91" spans="1:13" ht="63.75" thickBot="1" x14ac:dyDescent="0.3">
      <c r="A91" s="153"/>
      <c r="B91" s="156"/>
      <c r="C91" s="41"/>
      <c r="D91" s="42"/>
      <c r="E91" s="42"/>
      <c r="F91" s="42"/>
      <c r="G91" s="42"/>
      <c r="H91" s="41" t="s">
        <v>202</v>
      </c>
      <c r="I91" s="43" t="s">
        <v>18</v>
      </c>
      <c r="J91" s="44">
        <v>9682</v>
      </c>
      <c r="K91" s="63">
        <v>16321</v>
      </c>
      <c r="L91" s="41" t="s">
        <v>203</v>
      </c>
      <c r="M91" s="45"/>
    </row>
    <row r="92" spans="1:13" ht="126" x14ac:dyDescent="0.25">
      <c r="A92" s="151" t="s">
        <v>204</v>
      </c>
      <c r="B92" s="154" t="s">
        <v>205</v>
      </c>
      <c r="C92" s="33"/>
      <c r="D92" s="34">
        <f>SUM(D93:D94)</f>
        <v>78</v>
      </c>
      <c r="E92" s="34">
        <f>SUM(E93:E94)</f>
        <v>77.900000000000006</v>
      </c>
      <c r="F92" s="34">
        <f>SUM(F93:F94)</f>
        <v>0.1</v>
      </c>
      <c r="G92" s="53">
        <f t="shared" ref="G92:G107" si="2">SUM(E92/D92)</f>
        <v>0.99871794871794883</v>
      </c>
      <c r="H92" s="33" t="s">
        <v>206</v>
      </c>
      <c r="I92" s="36" t="s">
        <v>18</v>
      </c>
      <c r="J92" s="37">
        <v>1</v>
      </c>
      <c r="K92" s="54">
        <v>0</v>
      </c>
      <c r="L92" s="33" t="s">
        <v>207</v>
      </c>
      <c r="M92" s="39" t="s">
        <v>1748</v>
      </c>
    </row>
    <row r="93" spans="1:13" x14ac:dyDescent="0.25">
      <c r="A93" s="152"/>
      <c r="B93" s="155"/>
      <c r="C93" s="41" t="s">
        <v>37</v>
      </c>
      <c r="D93" s="42">
        <v>0.5</v>
      </c>
      <c r="E93" s="42">
        <v>0.5</v>
      </c>
      <c r="F93" s="42"/>
      <c r="G93" s="57">
        <f t="shared" si="2"/>
        <v>1</v>
      </c>
      <c r="H93" s="58"/>
      <c r="I93" s="43"/>
      <c r="J93" s="44"/>
      <c r="K93" s="44"/>
      <c r="L93" s="41"/>
      <c r="M93" s="45"/>
    </row>
    <row r="94" spans="1:13" ht="16.5" thickBot="1" x14ac:dyDescent="0.3">
      <c r="A94" s="153"/>
      <c r="B94" s="156"/>
      <c r="C94" s="41" t="s">
        <v>208</v>
      </c>
      <c r="D94" s="42">
        <v>77.5</v>
      </c>
      <c r="E94" s="42">
        <v>77.400000000000006</v>
      </c>
      <c r="F94" s="42">
        <v>0.1</v>
      </c>
      <c r="G94" s="61">
        <f t="shared" si="2"/>
        <v>0.9987096774193549</v>
      </c>
      <c r="H94" s="41"/>
      <c r="I94" s="43"/>
      <c r="J94" s="44"/>
      <c r="K94" s="44"/>
      <c r="L94" s="41"/>
      <c r="M94" s="45"/>
    </row>
    <row r="95" spans="1:13" ht="157.5" x14ac:dyDescent="0.25">
      <c r="A95" s="151" t="s">
        <v>209</v>
      </c>
      <c r="B95" s="154" t="s">
        <v>210</v>
      </c>
      <c r="C95" s="33"/>
      <c r="D95" s="34">
        <f>SUM(D96:D98)</f>
        <v>2433.1</v>
      </c>
      <c r="E95" s="34">
        <f>SUM(E96:E98)</f>
        <v>1297.3</v>
      </c>
      <c r="F95" s="34">
        <f>SUM(F96:F98)</f>
        <v>1135.9000000000001</v>
      </c>
      <c r="G95" s="53">
        <f t="shared" si="2"/>
        <v>0.53318811392873289</v>
      </c>
      <c r="H95" s="33" t="s">
        <v>211</v>
      </c>
      <c r="I95" s="36" t="s">
        <v>27</v>
      </c>
      <c r="J95" s="37">
        <v>100</v>
      </c>
      <c r="K95" s="62">
        <v>98</v>
      </c>
      <c r="L95" s="33" t="s">
        <v>212</v>
      </c>
      <c r="M95" s="39" t="s">
        <v>1749</v>
      </c>
    </row>
    <row r="96" spans="1:13" x14ac:dyDescent="0.25">
      <c r="A96" s="152"/>
      <c r="B96" s="155"/>
      <c r="C96" s="41" t="s">
        <v>213</v>
      </c>
      <c r="D96" s="42">
        <v>1183</v>
      </c>
      <c r="E96" s="42">
        <v>735.6</v>
      </c>
      <c r="F96" s="42">
        <v>447.5</v>
      </c>
      <c r="G96" s="57">
        <f t="shared" si="2"/>
        <v>0.6218089602704987</v>
      </c>
      <c r="H96" s="58"/>
      <c r="I96" s="43"/>
      <c r="J96" s="44"/>
      <c r="K96" s="44"/>
      <c r="L96" s="41"/>
      <c r="M96" s="45"/>
    </row>
    <row r="97" spans="1:13" x14ac:dyDescent="0.25">
      <c r="A97" s="152"/>
      <c r="B97" s="155"/>
      <c r="C97" s="41" t="s">
        <v>37</v>
      </c>
      <c r="D97" s="42">
        <v>500.1</v>
      </c>
      <c r="E97" s="42">
        <v>499.9</v>
      </c>
      <c r="F97" s="42">
        <v>0.2</v>
      </c>
      <c r="G97" s="57">
        <f t="shared" si="2"/>
        <v>0.99960007998400313</v>
      </c>
      <c r="H97" s="58"/>
      <c r="I97" s="43"/>
      <c r="J97" s="44"/>
      <c r="K97" s="44"/>
      <c r="L97" s="41"/>
      <c r="M97" s="45"/>
    </row>
    <row r="98" spans="1:13" ht="16.5" thickBot="1" x14ac:dyDescent="0.3">
      <c r="A98" s="153"/>
      <c r="B98" s="156"/>
      <c r="C98" s="41" t="s">
        <v>23</v>
      </c>
      <c r="D98" s="42">
        <v>750</v>
      </c>
      <c r="E98" s="42">
        <v>61.8</v>
      </c>
      <c r="F98" s="42">
        <v>688.2</v>
      </c>
      <c r="G98" s="61">
        <f t="shared" si="2"/>
        <v>8.2400000000000001E-2</v>
      </c>
      <c r="H98" s="41"/>
      <c r="I98" s="43"/>
      <c r="J98" s="44"/>
      <c r="K98" s="44"/>
      <c r="L98" s="41"/>
      <c r="M98" s="45"/>
    </row>
    <row r="99" spans="1:13" ht="105" customHeight="1" x14ac:dyDescent="0.25">
      <c r="A99" s="151" t="s">
        <v>214</v>
      </c>
      <c r="B99" s="154" t="s">
        <v>215</v>
      </c>
      <c r="C99" s="33"/>
      <c r="D99" s="34">
        <f>SUM(D100:D100)</f>
        <v>50</v>
      </c>
      <c r="E99" s="34">
        <f>SUM(E100:E100)</f>
        <v>0</v>
      </c>
      <c r="F99" s="34">
        <f>SUM(F100:F100)</f>
        <v>50</v>
      </c>
      <c r="G99" s="35">
        <f t="shared" si="2"/>
        <v>0</v>
      </c>
      <c r="H99" s="33" t="s">
        <v>211</v>
      </c>
      <c r="I99" s="36" t="s">
        <v>27</v>
      </c>
      <c r="J99" s="37">
        <v>80</v>
      </c>
      <c r="K99" s="54">
        <v>0</v>
      </c>
      <c r="L99" s="33" t="s">
        <v>216</v>
      </c>
      <c r="M99" s="39" t="s">
        <v>1750</v>
      </c>
    </row>
    <row r="100" spans="1:13" ht="16.5" thickBot="1" x14ac:dyDescent="0.3">
      <c r="A100" s="153"/>
      <c r="B100" s="156"/>
      <c r="C100" s="41" t="s">
        <v>217</v>
      </c>
      <c r="D100" s="42">
        <v>50</v>
      </c>
      <c r="E100" s="42"/>
      <c r="F100" s="42">
        <v>50</v>
      </c>
      <c r="G100" s="61">
        <f t="shared" si="2"/>
        <v>0</v>
      </c>
      <c r="H100" s="41"/>
      <c r="I100" s="43"/>
      <c r="J100" s="44"/>
      <c r="K100" s="44"/>
      <c r="L100" s="41"/>
      <c r="M100" s="45"/>
    </row>
    <row r="101" spans="1:13" ht="78.75" x14ac:dyDescent="0.25">
      <c r="A101" s="151" t="s">
        <v>218</v>
      </c>
      <c r="B101" s="154" t="s">
        <v>219</v>
      </c>
      <c r="C101" s="33"/>
      <c r="D101" s="34">
        <f>SUM(D102:D103)</f>
        <v>387.8</v>
      </c>
      <c r="E101" s="34">
        <f>SUM(E102:E103)</f>
        <v>261.3</v>
      </c>
      <c r="F101" s="34">
        <f>SUM(F102:F103)</f>
        <v>126.5</v>
      </c>
      <c r="G101" s="53">
        <f t="shared" si="2"/>
        <v>0.67380092831356375</v>
      </c>
      <c r="H101" s="33" t="s">
        <v>211</v>
      </c>
      <c r="I101" s="36" t="s">
        <v>27</v>
      </c>
      <c r="J101" s="37">
        <v>100</v>
      </c>
      <c r="K101" s="62">
        <v>70</v>
      </c>
      <c r="L101" s="33" t="s">
        <v>220</v>
      </c>
      <c r="M101" s="39" t="s">
        <v>220</v>
      </c>
    </row>
    <row r="102" spans="1:13" x14ac:dyDescent="0.25">
      <c r="A102" s="152"/>
      <c r="B102" s="155"/>
      <c r="C102" s="41" t="s">
        <v>37</v>
      </c>
      <c r="D102" s="42">
        <v>40.700000000000003</v>
      </c>
      <c r="E102" s="42">
        <v>40.700000000000003</v>
      </c>
      <c r="F102" s="42"/>
      <c r="G102" s="57">
        <f t="shared" si="2"/>
        <v>1</v>
      </c>
      <c r="H102" s="58"/>
      <c r="I102" s="43"/>
      <c r="J102" s="44"/>
      <c r="K102" s="44"/>
      <c r="L102" s="41"/>
      <c r="M102" s="45"/>
    </row>
    <row r="103" spans="1:13" ht="16.5" thickBot="1" x14ac:dyDescent="0.3">
      <c r="A103" s="153"/>
      <c r="B103" s="156"/>
      <c r="C103" s="41" t="s">
        <v>23</v>
      </c>
      <c r="D103" s="42">
        <v>347.1</v>
      </c>
      <c r="E103" s="42">
        <v>220.6</v>
      </c>
      <c r="F103" s="42">
        <v>126.5</v>
      </c>
      <c r="G103" s="61">
        <f t="shared" si="2"/>
        <v>0.63555171420339951</v>
      </c>
      <c r="H103" s="41"/>
      <c r="I103" s="43"/>
      <c r="J103" s="44"/>
      <c r="K103" s="44"/>
      <c r="L103" s="41"/>
      <c r="M103" s="45"/>
    </row>
    <row r="104" spans="1:13" ht="60" customHeight="1" x14ac:dyDescent="0.25">
      <c r="A104" s="151" t="s">
        <v>221</v>
      </c>
      <c r="B104" s="154" t="s">
        <v>222</v>
      </c>
      <c r="C104" s="33"/>
      <c r="D104" s="34">
        <f>SUM(D105:D105)</f>
        <v>50</v>
      </c>
      <c r="E104" s="34">
        <f>SUM(E105:E105)</f>
        <v>0</v>
      </c>
      <c r="F104" s="34">
        <f>SUM(F105:F105)</f>
        <v>50</v>
      </c>
      <c r="G104" s="35">
        <f t="shared" si="2"/>
        <v>0</v>
      </c>
      <c r="H104" s="33" t="s">
        <v>211</v>
      </c>
      <c r="I104" s="36" t="s">
        <v>27</v>
      </c>
      <c r="J104" s="37">
        <v>100</v>
      </c>
      <c r="K104" s="54">
        <v>0</v>
      </c>
      <c r="L104" s="33" t="s">
        <v>223</v>
      </c>
      <c r="M104" s="39" t="s">
        <v>1751</v>
      </c>
    </row>
    <row r="105" spans="1:13" ht="16.5" thickBot="1" x14ac:dyDescent="0.3">
      <c r="A105" s="153"/>
      <c r="B105" s="156"/>
      <c r="C105" s="41" t="s">
        <v>217</v>
      </c>
      <c r="D105" s="42">
        <v>50</v>
      </c>
      <c r="E105" s="42"/>
      <c r="F105" s="42">
        <v>50</v>
      </c>
      <c r="G105" s="61">
        <f t="shared" si="2"/>
        <v>0</v>
      </c>
      <c r="H105" s="41"/>
      <c r="I105" s="43"/>
      <c r="J105" s="44"/>
      <c r="K105" s="44"/>
      <c r="L105" s="41"/>
      <c r="M105" s="45"/>
    </row>
    <row r="106" spans="1:13" ht="48" thickBot="1" x14ac:dyDescent="0.3">
      <c r="A106" s="64" t="s">
        <v>224</v>
      </c>
      <c r="B106" s="65" t="s">
        <v>225</v>
      </c>
      <c r="C106" s="33" t="s">
        <v>37</v>
      </c>
      <c r="D106" s="66">
        <v>26.3</v>
      </c>
      <c r="E106" s="66">
        <v>26.3</v>
      </c>
      <c r="F106" s="66"/>
      <c r="G106" s="35">
        <f t="shared" si="2"/>
        <v>1</v>
      </c>
      <c r="H106" s="33" t="s">
        <v>226</v>
      </c>
      <c r="I106" s="36" t="s">
        <v>18</v>
      </c>
      <c r="J106" s="37">
        <v>1</v>
      </c>
      <c r="K106" s="38">
        <v>1</v>
      </c>
      <c r="L106" s="33" t="s">
        <v>227</v>
      </c>
      <c r="M106" s="39"/>
    </row>
    <row r="107" spans="1:13" ht="47.25" x14ac:dyDescent="0.25">
      <c r="A107" s="157" t="s">
        <v>228</v>
      </c>
      <c r="B107" s="160" t="s">
        <v>229</v>
      </c>
      <c r="C107" s="17"/>
      <c r="D107" s="18">
        <f>D108+D109+D118</f>
        <v>507.6</v>
      </c>
      <c r="E107" s="18">
        <f>E108+E109+E118</f>
        <v>195.8</v>
      </c>
      <c r="F107" s="18">
        <f>F108+F109+F118</f>
        <v>311.79999999999995</v>
      </c>
      <c r="G107" s="19">
        <f t="shared" si="2"/>
        <v>0.38573680063041765</v>
      </c>
      <c r="H107" s="17" t="s">
        <v>230</v>
      </c>
      <c r="I107" s="20" t="s">
        <v>27</v>
      </c>
      <c r="J107" s="21">
        <v>3</v>
      </c>
      <c r="K107" s="21">
        <v>84.5</v>
      </c>
      <c r="L107" s="17"/>
      <c r="M107" s="22"/>
    </row>
    <row r="108" spans="1:13" ht="63.75" thickBot="1" x14ac:dyDescent="0.3">
      <c r="A108" s="159"/>
      <c r="B108" s="162"/>
      <c r="C108" s="67"/>
      <c r="D108" s="68"/>
      <c r="E108" s="68"/>
      <c r="F108" s="68"/>
      <c r="G108" s="68"/>
      <c r="H108" s="67" t="s">
        <v>231</v>
      </c>
      <c r="I108" s="69" t="s">
        <v>18</v>
      </c>
      <c r="J108" s="70">
        <v>8</v>
      </c>
      <c r="K108" s="70">
        <v>8</v>
      </c>
      <c r="L108" s="67"/>
      <c r="M108" s="71"/>
    </row>
    <row r="109" spans="1:13" ht="32.25" thickBot="1" x14ac:dyDescent="0.3">
      <c r="A109" s="25" t="s">
        <v>232</v>
      </c>
      <c r="B109" s="26" t="s">
        <v>233</v>
      </c>
      <c r="C109" s="27"/>
      <c r="D109" s="28">
        <f>D110+D114+D115+D116</f>
        <v>496.1</v>
      </c>
      <c r="E109" s="28">
        <f>E110+E114+E115+E116</f>
        <v>184.3</v>
      </c>
      <c r="F109" s="28">
        <f>F110+F114+F115+F116</f>
        <v>311.79999999999995</v>
      </c>
      <c r="G109" s="29">
        <f t="shared" ref="G109:G116" si="3">SUM(E109/D109)</f>
        <v>0.37149768191896798</v>
      </c>
      <c r="H109" s="129"/>
      <c r="I109" s="130"/>
      <c r="J109" s="130"/>
      <c r="K109" s="130"/>
      <c r="L109" s="130"/>
      <c r="M109" s="131"/>
    </row>
    <row r="110" spans="1:13" ht="75" customHeight="1" x14ac:dyDescent="0.25">
      <c r="A110" s="151" t="s">
        <v>234</v>
      </c>
      <c r="B110" s="154" t="s">
        <v>235</v>
      </c>
      <c r="C110" s="33"/>
      <c r="D110" s="34">
        <f>SUM(D111:D113)</f>
        <v>141.5</v>
      </c>
      <c r="E110" s="34">
        <f>SUM(E111:E113)</f>
        <v>46.4</v>
      </c>
      <c r="F110" s="34">
        <f>SUM(F111:F113)</f>
        <v>95.1</v>
      </c>
      <c r="G110" s="53">
        <f t="shared" si="3"/>
        <v>0.32791519434628974</v>
      </c>
      <c r="H110" s="33" t="s">
        <v>236</v>
      </c>
      <c r="I110" s="36" t="s">
        <v>18</v>
      </c>
      <c r="J110" s="37">
        <v>2</v>
      </c>
      <c r="K110" s="38">
        <v>2</v>
      </c>
      <c r="L110" s="33" t="s">
        <v>237</v>
      </c>
      <c r="M110" s="39" t="s">
        <v>1752</v>
      </c>
    </row>
    <row r="111" spans="1:13" x14ac:dyDescent="0.25">
      <c r="A111" s="152"/>
      <c r="B111" s="155"/>
      <c r="C111" s="41" t="s">
        <v>37</v>
      </c>
      <c r="D111" s="42">
        <v>11.7</v>
      </c>
      <c r="E111" s="42">
        <v>11.6</v>
      </c>
      <c r="F111" s="42">
        <v>0.1</v>
      </c>
      <c r="G111" s="57">
        <f t="shared" si="3"/>
        <v>0.99145299145299148</v>
      </c>
      <c r="H111" s="58"/>
      <c r="I111" s="43"/>
      <c r="J111" s="44"/>
      <c r="K111" s="44"/>
      <c r="L111" s="41"/>
      <c r="M111" s="45"/>
    </row>
    <row r="112" spans="1:13" x14ac:dyDescent="0.25">
      <c r="A112" s="152"/>
      <c r="B112" s="155"/>
      <c r="C112" s="41" t="s">
        <v>23</v>
      </c>
      <c r="D112" s="42">
        <v>10.1</v>
      </c>
      <c r="E112" s="42">
        <v>10.1</v>
      </c>
      <c r="F112" s="42"/>
      <c r="G112" s="57">
        <f t="shared" si="3"/>
        <v>1</v>
      </c>
      <c r="H112" s="58"/>
      <c r="I112" s="43"/>
      <c r="J112" s="44"/>
      <c r="K112" s="44"/>
      <c r="L112" s="41"/>
      <c r="M112" s="45"/>
    </row>
    <row r="113" spans="1:17" ht="16.5" thickBot="1" x14ac:dyDescent="0.3">
      <c r="A113" s="153"/>
      <c r="B113" s="156"/>
      <c r="C113" s="41" t="s">
        <v>208</v>
      </c>
      <c r="D113" s="42">
        <v>119.7</v>
      </c>
      <c r="E113" s="42">
        <v>24.7</v>
      </c>
      <c r="F113" s="42">
        <v>95</v>
      </c>
      <c r="G113" s="61">
        <f t="shared" si="3"/>
        <v>0.20634920634920634</v>
      </c>
      <c r="H113" s="41"/>
      <c r="I113" s="43"/>
      <c r="J113" s="44"/>
      <c r="K113" s="44"/>
      <c r="L113" s="41"/>
      <c r="M113" s="45"/>
    </row>
    <row r="114" spans="1:17" ht="142.5" thickBot="1" x14ac:dyDescent="0.3">
      <c r="A114" s="64" t="s">
        <v>238</v>
      </c>
      <c r="B114" s="65" t="s">
        <v>239</v>
      </c>
      <c r="C114" s="33" t="s">
        <v>23</v>
      </c>
      <c r="D114" s="66">
        <v>108</v>
      </c>
      <c r="E114" s="66">
        <v>61.9</v>
      </c>
      <c r="F114" s="66">
        <v>46.1</v>
      </c>
      <c r="G114" s="35">
        <f t="shared" si="3"/>
        <v>0.57314814814814818</v>
      </c>
      <c r="H114" s="33" t="s">
        <v>240</v>
      </c>
      <c r="I114" s="36" t="s">
        <v>27</v>
      </c>
      <c r="J114" s="37">
        <v>100</v>
      </c>
      <c r="K114" s="62">
        <v>69</v>
      </c>
      <c r="L114" s="33" t="s">
        <v>241</v>
      </c>
      <c r="M114" s="39" t="s">
        <v>1753</v>
      </c>
    </row>
    <row r="115" spans="1:17" ht="142.5" thickBot="1" x14ac:dyDescent="0.3">
      <c r="A115" s="64" t="s">
        <v>242</v>
      </c>
      <c r="B115" s="65" t="s">
        <v>243</v>
      </c>
      <c r="C115" s="33" t="s">
        <v>23</v>
      </c>
      <c r="D115" s="66">
        <v>220.8</v>
      </c>
      <c r="E115" s="66">
        <v>50.2</v>
      </c>
      <c r="F115" s="66">
        <v>170.6</v>
      </c>
      <c r="G115" s="35">
        <f t="shared" si="3"/>
        <v>0.22735507246376813</v>
      </c>
      <c r="H115" s="33" t="s">
        <v>240</v>
      </c>
      <c r="I115" s="36" t="s">
        <v>27</v>
      </c>
      <c r="J115" s="37">
        <v>100</v>
      </c>
      <c r="K115" s="74">
        <v>31</v>
      </c>
      <c r="L115" s="33" t="s">
        <v>244</v>
      </c>
      <c r="M115" s="39" t="s">
        <v>1754</v>
      </c>
    </row>
    <row r="116" spans="1:17" ht="220.5" x14ac:dyDescent="0.25">
      <c r="A116" s="151" t="s">
        <v>245</v>
      </c>
      <c r="B116" s="154" t="s">
        <v>246</v>
      </c>
      <c r="C116" s="33" t="s">
        <v>23</v>
      </c>
      <c r="D116" s="34">
        <f>SUM(D117:D117)+25.8</f>
        <v>25.8</v>
      </c>
      <c r="E116" s="34">
        <f>SUM(E117:E117)+25.8</f>
        <v>25.8</v>
      </c>
      <c r="F116" s="34"/>
      <c r="G116" s="35">
        <f t="shared" si="3"/>
        <v>1</v>
      </c>
      <c r="H116" s="33" t="s">
        <v>247</v>
      </c>
      <c r="I116" s="36" t="s">
        <v>18</v>
      </c>
      <c r="J116" s="37">
        <v>8</v>
      </c>
      <c r="K116" s="38">
        <v>8</v>
      </c>
      <c r="L116" s="33" t="s">
        <v>248</v>
      </c>
      <c r="M116" s="39"/>
    </row>
    <row r="117" spans="1:17" ht="252.75" thickBot="1" x14ac:dyDescent="0.3">
      <c r="A117" s="153"/>
      <c r="B117" s="156"/>
      <c r="C117" s="41"/>
      <c r="D117" s="42"/>
      <c r="E117" s="42"/>
      <c r="F117" s="42"/>
      <c r="G117" s="42"/>
      <c r="H117" s="41" t="s">
        <v>249</v>
      </c>
      <c r="I117" s="43" t="s">
        <v>18</v>
      </c>
      <c r="J117" s="44">
        <v>1</v>
      </c>
      <c r="K117" s="47">
        <v>1</v>
      </c>
      <c r="L117" s="41" t="s">
        <v>250</v>
      </c>
      <c r="M117" s="45"/>
    </row>
    <row r="118" spans="1:17" ht="48" thickBot="1" x14ac:dyDescent="0.3">
      <c r="A118" s="25" t="s">
        <v>251</v>
      </c>
      <c r="B118" s="26" t="s">
        <v>252</v>
      </c>
      <c r="C118" s="27"/>
      <c r="D118" s="28">
        <f>SUM(D119:D120)</f>
        <v>11.5</v>
      </c>
      <c r="E118" s="28">
        <f>SUM(E119:E120)</f>
        <v>11.5</v>
      </c>
      <c r="F118" s="28"/>
      <c r="G118" s="29">
        <f t="shared" ref="G118:G126" si="4">SUM(E118/D118)</f>
        <v>1</v>
      </c>
      <c r="H118" s="129"/>
      <c r="I118" s="130"/>
      <c r="J118" s="130"/>
      <c r="K118" s="130"/>
      <c r="L118" s="130"/>
      <c r="M118" s="131"/>
    </row>
    <row r="119" spans="1:17" ht="142.5" thickBot="1" x14ac:dyDescent="0.3">
      <c r="A119" s="64" t="s">
        <v>253</v>
      </c>
      <c r="B119" s="65" t="s">
        <v>254</v>
      </c>
      <c r="C119" s="33" t="s">
        <v>23</v>
      </c>
      <c r="D119" s="66">
        <v>1.5</v>
      </c>
      <c r="E119" s="66">
        <v>1.5</v>
      </c>
      <c r="F119" s="66">
        <v>0</v>
      </c>
      <c r="G119" s="35">
        <f t="shared" si="4"/>
        <v>1</v>
      </c>
      <c r="H119" s="33" t="s">
        <v>255</v>
      </c>
      <c r="I119" s="36" t="s">
        <v>18</v>
      </c>
      <c r="J119" s="37">
        <v>1</v>
      </c>
      <c r="K119" s="38">
        <v>1</v>
      </c>
      <c r="L119" s="33" t="s">
        <v>256</v>
      </c>
      <c r="M119" s="39"/>
    </row>
    <row r="120" spans="1:17" ht="142.5" thickBot="1" x14ac:dyDescent="0.3">
      <c r="A120" s="64" t="s">
        <v>257</v>
      </c>
      <c r="B120" s="65" t="s">
        <v>258</v>
      </c>
      <c r="C120" s="33" t="s">
        <v>23</v>
      </c>
      <c r="D120" s="66">
        <v>10</v>
      </c>
      <c r="E120" s="66">
        <v>10</v>
      </c>
      <c r="F120" s="66"/>
      <c r="G120" s="35">
        <f t="shared" si="4"/>
        <v>1</v>
      </c>
      <c r="H120" s="33" t="s">
        <v>259</v>
      </c>
      <c r="I120" s="36" t="s">
        <v>18</v>
      </c>
      <c r="J120" s="37">
        <v>1</v>
      </c>
      <c r="K120" s="38">
        <v>1</v>
      </c>
      <c r="L120" s="33" t="s">
        <v>260</v>
      </c>
      <c r="M120" s="39"/>
    </row>
    <row r="121" spans="1:17" ht="32.25" thickBot="1" x14ac:dyDescent="0.3">
      <c r="A121" s="10" t="s">
        <v>261</v>
      </c>
      <c r="B121" s="11" t="s">
        <v>262</v>
      </c>
      <c r="C121" s="12"/>
      <c r="D121" s="13">
        <f>SUM(D122:D122)</f>
        <v>6488.1</v>
      </c>
      <c r="E121" s="13">
        <f>SUM(E122:E122)</f>
        <v>5715.1999999999989</v>
      </c>
      <c r="F121" s="13">
        <f>SUM(F122:F122)</f>
        <v>772.9</v>
      </c>
      <c r="G121" s="14">
        <f t="shared" si="4"/>
        <v>0.88087421587213488</v>
      </c>
      <c r="H121" s="126"/>
      <c r="I121" s="127"/>
      <c r="J121" s="127"/>
      <c r="K121" s="127"/>
      <c r="L121" s="127"/>
      <c r="M121" s="128"/>
      <c r="O121" s="23"/>
      <c r="P121" s="24" t="s">
        <v>1</v>
      </c>
      <c r="Q121" s="24" t="s">
        <v>1925</v>
      </c>
    </row>
    <row r="122" spans="1:17" ht="95.25" thickBot="1" x14ac:dyDescent="0.3">
      <c r="A122" s="15" t="s">
        <v>263</v>
      </c>
      <c r="B122" s="16" t="s">
        <v>264</v>
      </c>
      <c r="C122" s="17"/>
      <c r="D122" s="18">
        <f>D123+D137+D144+D164+D170</f>
        <v>6488.1</v>
      </c>
      <c r="E122" s="18">
        <f>E123+E137+E144+E164+E170</f>
        <v>5715.1999999999989</v>
      </c>
      <c r="F122" s="18">
        <f>F123+F137+F144+F164+F170</f>
        <v>772.9</v>
      </c>
      <c r="G122" s="19">
        <f t="shared" si="4"/>
        <v>0.88087421587213488</v>
      </c>
      <c r="H122" s="17" t="s">
        <v>265</v>
      </c>
      <c r="I122" s="20" t="s">
        <v>266</v>
      </c>
      <c r="J122" s="21">
        <v>38000</v>
      </c>
      <c r="K122" s="21">
        <v>39766.199999999997</v>
      </c>
      <c r="L122" s="17"/>
      <c r="M122" s="22" t="s">
        <v>1755</v>
      </c>
      <c r="O122" s="30"/>
      <c r="P122" s="31" t="s">
        <v>1712</v>
      </c>
      <c r="Q122" s="32">
        <v>4</v>
      </c>
    </row>
    <row r="123" spans="1:17" ht="48" thickBot="1" x14ac:dyDescent="0.3">
      <c r="A123" s="25" t="s">
        <v>267</v>
      </c>
      <c r="B123" s="26" t="s">
        <v>268</v>
      </c>
      <c r="C123" s="27"/>
      <c r="D123" s="28">
        <f>D124+D129+D132+D134</f>
        <v>4826.3</v>
      </c>
      <c r="E123" s="28">
        <f>E124+E129+E132+E134</f>
        <v>4629.8999999999996</v>
      </c>
      <c r="F123" s="28">
        <f>F124+F129+F132+F134</f>
        <v>196.4</v>
      </c>
      <c r="G123" s="29">
        <f t="shared" si="4"/>
        <v>0.95930630089302349</v>
      </c>
      <c r="H123" s="129"/>
      <c r="I123" s="130"/>
      <c r="J123" s="130"/>
      <c r="K123" s="130"/>
      <c r="L123" s="130"/>
      <c r="M123" s="131"/>
      <c r="O123" s="40"/>
      <c r="P123" s="31" t="s">
        <v>1713</v>
      </c>
      <c r="Q123" s="32"/>
    </row>
    <row r="124" spans="1:17" ht="32.25" thickBot="1" x14ac:dyDescent="0.3">
      <c r="A124" s="64" t="s">
        <v>269</v>
      </c>
      <c r="B124" s="65" t="s">
        <v>270</v>
      </c>
      <c r="C124" s="33"/>
      <c r="D124" s="34">
        <f>D125+D126+D128</f>
        <v>4617</v>
      </c>
      <c r="E124" s="34">
        <f>E125+E126+E128</f>
        <v>4605.7</v>
      </c>
      <c r="F124" s="34">
        <f>F125+F126+F128</f>
        <v>11.3</v>
      </c>
      <c r="G124" s="35">
        <f t="shared" si="4"/>
        <v>0.9975525232835174</v>
      </c>
      <c r="H124" s="33" t="s">
        <v>271</v>
      </c>
      <c r="I124" s="36" t="s">
        <v>266</v>
      </c>
      <c r="J124" s="37">
        <v>38000</v>
      </c>
      <c r="K124" s="60">
        <v>39766.199999999997</v>
      </c>
      <c r="L124" s="33"/>
      <c r="M124" s="39" t="s">
        <v>1756</v>
      </c>
      <c r="O124" s="1"/>
      <c r="P124" s="2" t="s">
        <v>1714</v>
      </c>
      <c r="Q124" s="48">
        <v>5</v>
      </c>
    </row>
    <row r="125" spans="1:17" ht="48" thickBot="1" x14ac:dyDescent="0.3">
      <c r="A125" s="64" t="s">
        <v>272</v>
      </c>
      <c r="B125" s="65" t="s">
        <v>273</v>
      </c>
      <c r="C125" s="33" t="s">
        <v>23</v>
      </c>
      <c r="D125" s="66">
        <v>288.2</v>
      </c>
      <c r="E125" s="66">
        <v>288.2</v>
      </c>
      <c r="F125" s="66"/>
      <c r="G125" s="35">
        <f t="shared" si="4"/>
        <v>1</v>
      </c>
      <c r="H125" s="33" t="s">
        <v>274</v>
      </c>
      <c r="I125" s="36" t="s">
        <v>27</v>
      </c>
      <c r="J125" s="37">
        <v>100</v>
      </c>
      <c r="K125" s="62">
        <v>97.38</v>
      </c>
      <c r="L125" s="33" t="s">
        <v>275</v>
      </c>
      <c r="M125" s="39" t="s">
        <v>1757</v>
      </c>
      <c r="O125" s="50"/>
      <c r="P125" s="31" t="s">
        <v>1716</v>
      </c>
      <c r="Q125" s="51">
        <v>4</v>
      </c>
    </row>
    <row r="126" spans="1:17" ht="47.25" x14ac:dyDescent="0.25">
      <c r="A126" s="151" t="s">
        <v>276</v>
      </c>
      <c r="B126" s="154" t="s">
        <v>277</v>
      </c>
      <c r="C126" s="33" t="s">
        <v>23</v>
      </c>
      <c r="D126" s="34">
        <f>SUM(D127:D127)+1561.5</f>
        <v>1561.5</v>
      </c>
      <c r="E126" s="34">
        <f>SUM(E127:E127)+1561.5</f>
        <v>1561.5</v>
      </c>
      <c r="F126" s="34"/>
      <c r="G126" s="35">
        <f t="shared" si="4"/>
        <v>1</v>
      </c>
      <c r="H126" s="33" t="s">
        <v>278</v>
      </c>
      <c r="I126" s="36" t="s">
        <v>266</v>
      </c>
      <c r="J126" s="37">
        <v>38000</v>
      </c>
      <c r="K126" s="60">
        <v>39766.199999999997</v>
      </c>
      <c r="L126" s="33" t="s">
        <v>279</v>
      </c>
      <c r="M126" s="39"/>
      <c r="O126" s="52"/>
      <c r="P126" s="31" t="s">
        <v>1717</v>
      </c>
      <c r="Q126" s="48">
        <v>5</v>
      </c>
    </row>
    <row r="127" spans="1:17" ht="111" thickBot="1" x14ac:dyDescent="0.3">
      <c r="A127" s="153"/>
      <c r="B127" s="156"/>
      <c r="C127" s="41"/>
      <c r="D127" s="42"/>
      <c r="E127" s="42"/>
      <c r="F127" s="42"/>
      <c r="G127" s="42"/>
      <c r="H127" s="41" t="s">
        <v>280</v>
      </c>
      <c r="I127" s="43" t="s">
        <v>18</v>
      </c>
      <c r="J127" s="44">
        <v>1</v>
      </c>
      <c r="K127" s="47">
        <v>1</v>
      </c>
      <c r="L127" s="41" t="s">
        <v>281</v>
      </c>
      <c r="M127" s="45"/>
      <c r="O127" s="23"/>
      <c r="P127" s="55" t="s">
        <v>1715</v>
      </c>
      <c r="Q127" s="48">
        <f>+SUM(Q122:Q126)</f>
        <v>18</v>
      </c>
    </row>
    <row r="128" spans="1:17" ht="48" thickBot="1" x14ac:dyDescent="0.3">
      <c r="A128" s="64" t="s">
        <v>282</v>
      </c>
      <c r="B128" s="65" t="s">
        <v>283</v>
      </c>
      <c r="C128" s="33" t="s">
        <v>23</v>
      </c>
      <c r="D128" s="66">
        <v>2767.3</v>
      </c>
      <c r="E128" s="66">
        <v>2756</v>
      </c>
      <c r="F128" s="66">
        <v>11.3</v>
      </c>
      <c r="G128" s="35">
        <f t="shared" ref="G128:G135" si="5">SUM(E128/D128)</f>
        <v>0.99591659740541316</v>
      </c>
      <c r="H128" s="33" t="s">
        <v>284</v>
      </c>
      <c r="I128" s="36" t="s">
        <v>266</v>
      </c>
      <c r="J128" s="37">
        <v>38000</v>
      </c>
      <c r="K128" s="60">
        <v>39766.21</v>
      </c>
      <c r="L128" s="33" t="s">
        <v>285</v>
      </c>
      <c r="M128" s="39" t="s">
        <v>1758</v>
      </c>
    </row>
    <row r="129" spans="1:13" ht="63" x14ac:dyDescent="0.25">
      <c r="A129" s="151" t="s">
        <v>286</v>
      </c>
      <c r="B129" s="154" t="s">
        <v>287</v>
      </c>
      <c r="C129" s="33"/>
      <c r="D129" s="34">
        <f>SUM(D130:D131)</f>
        <v>34.299999999999997</v>
      </c>
      <c r="E129" s="34">
        <f>SUM(E130:E131)</f>
        <v>24.2</v>
      </c>
      <c r="F129" s="34">
        <f>SUM(F130:F131)</f>
        <v>10.1</v>
      </c>
      <c r="G129" s="53">
        <f t="shared" si="5"/>
        <v>0.70553935860058314</v>
      </c>
      <c r="H129" s="33" t="s">
        <v>288</v>
      </c>
      <c r="I129" s="36" t="s">
        <v>27</v>
      </c>
      <c r="J129" s="37">
        <v>100</v>
      </c>
      <c r="K129" s="38">
        <v>100</v>
      </c>
      <c r="L129" s="33" t="s">
        <v>289</v>
      </c>
      <c r="M129" s="39"/>
    </row>
    <row r="130" spans="1:13" ht="47.25" x14ac:dyDescent="0.25">
      <c r="A130" s="152"/>
      <c r="B130" s="155"/>
      <c r="C130" s="41" t="s">
        <v>290</v>
      </c>
      <c r="D130" s="42">
        <v>10</v>
      </c>
      <c r="E130" s="42"/>
      <c r="F130" s="42">
        <v>10</v>
      </c>
      <c r="G130" s="57">
        <f t="shared" si="5"/>
        <v>0</v>
      </c>
      <c r="H130" s="58" t="s">
        <v>291</v>
      </c>
      <c r="I130" s="43" t="s">
        <v>266</v>
      </c>
      <c r="J130" s="44">
        <v>100</v>
      </c>
      <c r="K130" s="63">
        <v>238.36</v>
      </c>
      <c r="L130" s="41" t="s">
        <v>292</v>
      </c>
      <c r="M130" s="45"/>
    </row>
    <row r="131" spans="1:13" ht="16.5" thickBot="1" x14ac:dyDescent="0.3">
      <c r="A131" s="153"/>
      <c r="B131" s="156"/>
      <c r="C131" s="41" t="s">
        <v>78</v>
      </c>
      <c r="D131" s="42">
        <v>24.3</v>
      </c>
      <c r="E131" s="42">
        <v>24.2</v>
      </c>
      <c r="F131" s="42">
        <v>0.1</v>
      </c>
      <c r="G131" s="61">
        <f t="shared" si="5"/>
        <v>0.99588477366255135</v>
      </c>
      <c r="H131" s="41"/>
      <c r="I131" s="43"/>
      <c r="J131" s="44"/>
      <c r="K131" s="44"/>
      <c r="L131" s="41"/>
      <c r="M131" s="45"/>
    </row>
    <row r="132" spans="1:13" ht="110.25" x14ac:dyDescent="0.25">
      <c r="A132" s="151" t="s">
        <v>293</v>
      </c>
      <c r="B132" s="154" t="s">
        <v>294</v>
      </c>
      <c r="C132" s="33"/>
      <c r="D132" s="34">
        <f>SUM(D133:D133)</f>
        <v>136</v>
      </c>
      <c r="E132" s="34"/>
      <c r="F132" s="34">
        <f>SUM(F133:F133)</f>
        <v>136</v>
      </c>
      <c r="G132" s="35">
        <f t="shared" si="5"/>
        <v>0</v>
      </c>
      <c r="H132" s="33" t="s">
        <v>295</v>
      </c>
      <c r="I132" s="36" t="s">
        <v>18</v>
      </c>
      <c r="J132" s="37">
        <v>11</v>
      </c>
      <c r="K132" s="54">
        <v>0</v>
      </c>
      <c r="L132" s="33" t="s">
        <v>296</v>
      </c>
      <c r="M132" s="39" t="s">
        <v>1759</v>
      </c>
    </row>
    <row r="133" spans="1:13" ht="95.25" thickBot="1" x14ac:dyDescent="0.3">
      <c r="A133" s="153"/>
      <c r="B133" s="156"/>
      <c r="C133" s="41" t="s">
        <v>23</v>
      </c>
      <c r="D133" s="42">
        <v>136</v>
      </c>
      <c r="E133" s="42"/>
      <c r="F133" s="42">
        <v>136</v>
      </c>
      <c r="G133" s="61">
        <f t="shared" si="5"/>
        <v>0</v>
      </c>
      <c r="H133" s="41" t="s">
        <v>297</v>
      </c>
      <c r="I133" s="43" t="s">
        <v>18</v>
      </c>
      <c r="J133" s="44">
        <v>1</v>
      </c>
      <c r="K133" s="49">
        <v>0</v>
      </c>
      <c r="L133" s="41"/>
      <c r="M133" s="45" t="s">
        <v>298</v>
      </c>
    </row>
    <row r="134" spans="1:13" ht="252" x14ac:dyDescent="0.25">
      <c r="A134" s="151" t="s">
        <v>299</v>
      </c>
      <c r="B134" s="154" t="s">
        <v>300</v>
      </c>
      <c r="C134" s="33"/>
      <c r="D134" s="34">
        <f>SUM(D135:D136)</f>
        <v>39</v>
      </c>
      <c r="E134" s="34"/>
      <c r="F134" s="34">
        <f>SUM(F135:F136)</f>
        <v>39</v>
      </c>
      <c r="G134" s="53">
        <f t="shared" si="5"/>
        <v>0</v>
      </c>
      <c r="H134" s="33" t="s">
        <v>301</v>
      </c>
      <c r="I134" s="36" t="s">
        <v>18</v>
      </c>
      <c r="J134" s="37">
        <v>1</v>
      </c>
      <c r="K134" s="54">
        <v>0</v>
      </c>
      <c r="L134" s="33" t="s">
        <v>302</v>
      </c>
      <c r="M134" s="39" t="s">
        <v>1760</v>
      </c>
    </row>
    <row r="135" spans="1:13" ht="31.5" x14ac:dyDescent="0.25">
      <c r="A135" s="152"/>
      <c r="B135" s="155"/>
      <c r="C135" s="41" t="s">
        <v>23</v>
      </c>
      <c r="D135" s="42">
        <v>39</v>
      </c>
      <c r="E135" s="42"/>
      <c r="F135" s="42">
        <v>39</v>
      </c>
      <c r="G135" s="57">
        <f t="shared" si="5"/>
        <v>0</v>
      </c>
      <c r="H135" s="58" t="s">
        <v>303</v>
      </c>
      <c r="I135" s="43" t="s">
        <v>304</v>
      </c>
      <c r="J135" s="44">
        <v>4</v>
      </c>
      <c r="K135" s="49">
        <v>0</v>
      </c>
      <c r="L135" s="41"/>
      <c r="M135" s="45"/>
    </row>
    <row r="136" spans="1:13" ht="32.25" thickBot="1" x14ac:dyDescent="0.3">
      <c r="A136" s="153"/>
      <c r="B136" s="156"/>
      <c r="C136" s="41"/>
      <c r="D136" s="42"/>
      <c r="E136" s="42"/>
      <c r="F136" s="42"/>
      <c r="G136" s="59"/>
      <c r="H136" s="41" t="s">
        <v>305</v>
      </c>
      <c r="I136" s="43" t="s">
        <v>18</v>
      </c>
      <c r="J136" s="44">
        <v>1</v>
      </c>
      <c r="K136" s="49">
        <v>0</v>
      </c>
      <c r="L136" s="41"/>
      <c r="M136" s="45"/>
    </row>
    <row r="137" spans="1:13" ht="48" thickBot="1" x14ac:dyDescent="0.3">
      <c r="A137" s="25" t="s">
        <v>306</v>
      </c>
      <c r="B137" s="26" t="s">
        <v>307</v>
      </c>
      <c r="C137" s="27"/>
      <c r="D137" s="28">
        <f>D138+D140</f>
        <v>321.40000000000003</v>
      </c>
      <c r="E137" s="28">
        <f>E138+E140</f>
        <v>184.2</v>
      </c>
      <c r="F137" s="28">
        <f>F138+F140</f>
        <v>137.19999999999999</v>
      </c>
      <c r="G137" s="29">
        <f>SUM(E137/D137)</f>
        <v>0.57311761045426246</v>
      </c>
      <c r="H137" s="129"/>
      <c r="I137" s="130"/>
      <c r="J137" s="130"/>
      <c r="K137" s="130"/>
      <c r="L137" s="130"/>
      <c r="M137" s="131"/>
    </row>
    <row r="138" spans="1:13" ht="94.5" x14ac:dyDescent="0.25">
      <c r="A138" s="151" t="s">
        <v>308</v>
      </c>
      <c r="B138" s="154" t="s">
        <v>309</v>
      </c>
      <c r="C138" s="33" t="s">
        <v>290</v>
      </c>
      <c r="D138" s="34">
        <f>SUM(D139:D139)+50</f>
        <v>50</v>
      </c>
      <c r="E138" s="34">
        <f>SUM(E139:E139)+2</f>
        <v>2</v>
      </c>
      <c r="F138" s="34">
        <f>SUM(F139:F139)+48</f>
        <v>48</v>
      </c>
      <c r="G138" s="35">
        <f>SUM(E138/D138)</f>
        <v>0.04</v>
      </c>
      <c r="H138" s="33" t="s">
        <v>310</v>
      </c>
      <c r="I138" s="36" t="s">
        <v>18</v>
      </c>
      <c r="J138" s="37">
        <v>1</v>
      </c>
      <c r="K138" s="38">
        <v>1</v>
      </c>
      <c r="L138" s="33" t="s">
        <v>311</v>
      </c>
      <c r="M138" s="39" t="s">
        <v>1761</v>
      </c>
    </row>
    <row r="139" spans="1:13" ht="111" thickBot="1" x14ac:dyDescent="0.3">
      <c r="A139" s="153"/>
      <c r="B139" s="156"/>
      <c r="C139" s="41"/>
      <c r="D139" s="42"/>
      <c r="E139" s="42"/>
      <c r="F139" s="42"/>
      <c r="G139" s="42"/>
      <c r="H139" s="41" t="s">
        <v>312</v>
      </c>
      <c r="I139" s="43" t="s">
        <v>18</v>
      </c>
      <c r="J139" s="44">
        <v>3</v>
      </c>
      <c r="K139" s="49">
        <v>0</v>
      </c>
      <c r="L139" s="41"/>
      <c r="M139" s="45" t="s">
        <v>1762</v>
      </c>
    </row>
    <row r="140" spans="1:13" ht="126" x14ac:dyDescent="0.25">
      <c r="A140" s="151" t="s">
        <v>313</v>
      </c>
      <c r="B140" s="154" t="s">
        <v>314</v>
      </c>
      <c r="C140" s="33"/>
      <c r="D140" s="34">
        <f>SUM(D141:D143)+0.1</f>
        <v>271.40000000000003</v>
      </c>
      <c r="E140" s="34">
        <f>SUM(E141:E143)+0.1</f>
        <v>182.2</v>
      </c>
      <c r="F140" s="34">
        <f>SUM(F141:F143)</f>
        <v>89.2</v>
      </c>
      <c r="G140" s="53">
        <f t="shared" ref="G140:G166" si="6">SUM(E140/D140)</f>
        <v>0.67133382461311708</v>
      </c>
      <c r="H140" s="33" t="s">
        <v>315</v>
      </c>
      <c r="I140" s="36" t="s">
        <v>27</v>
      </c>
      <c r="J140" s="37">
        <v>100</v>
      </c>
      <c r="K140" s="38">
        <v>100</v>
      </c>
      <c r="L140" s="33" t="s">
        <v>316</v>
      </c>
      <c r="M140" s="39"/>
    </row>
    <row r="141" spans="1:13" ht="47.25" x14ac:dyDescent="0.25">
      <c r="A141" s="152"/>
      <c r="B141" s="155"/>
      <c r="C141" s="41" t="s">
        <v>290</v>
      </c>
      <c r="D141" s="42">
        <v>111</v>
      </c>
      <c r="E141" s="42">
        <v>103.1</v>
      </c>
      <c r="F141" s="42">
        <v>7.9</v>
      </c>
      <c r="G141" s="57">
        <f t="shared" si="6"/>
        <v>0.92882882882882878</v>
      </c>
      <c r="H141" s="58" t="s">
        <v>317</v>
      </c>
      <c r="I141" s="43" t="s">
        <v>318</v>
      </c>
      <c r="J141" s="44">
        <v>11069</v>
      </c>
      <c r="K141" s="47">
        <v>11069</v>
      </c>
      <c r="L141" s="41" t="s">
        <v>319</v>
      </c>
      <c r="M141" s="45"/>
    </row>
    <row r="142" spans="1:13" x14ac:dyDescent="0.25">
      <c r="A142" s="152"/>
      <c r="B142" s="155"/>
      <c r="C142" s="41" t="s">
        <v>320</v>
      </c>
      <c r="D142" s="42">
        <v>157.30000000000001</v>
      </c>
      <c r="E142" s="42">
        <v>76</v>
      </c>
      <c r="F142" s="42">
        <v>81.3</v>
      </c>
      <c r="G142" s="57">
        <f t="shared" si="6"/>
        <v>0.48315321042593767</v>
      </c>
      <c r="H142" s="58" t="s">
        <v>321</v>
      </c>
      <c r="I142" s="43" t="s">
        <v>18</v>
      </c>
      <c r="J142" s="44">
        <v>100</v>
      </c>
      <c r="K142" s="63">
        <v>218</v>
      </c>
      <c r="L142" s="41" t="s">
        <v>322</v>
      </c>
      <c r="M142" s="45"/>
    </row>
    <row r="143" spans="1:13" ht="16.5" thickBot="1" x14ac:dyDescent="0.3">
      <c r="A143" s="153"/>
      <c r="B143" s="156"/>
      <c r="C143" s="41" t="s">
        <v>78</v>
      </c>
      <c r="D143" s="42">
        <v>3</v>
      </c>
      <c r="E143" s="42">
        <v>3</v>
      </c>
      <c r="F143" s="42"/>
      <c r="G143" s="61">
        <f t="shared" si="6"/>
        <v>1</v>
      </c>
      <c r="H143" s="41" t="s">
        <v>323</v>
      </c>
      <c r="I143" s="43" t="s">
        <v>18</v>
      </c>
      <c r="J143" s="44">
        <v>2500</v>
      </c>
      <c r="K143" s="63">
        <v>3197</v>
      </c>
      <c r="L143" s="41" t="s">
        <v>324</v>
      </c>
      <c r="M143" s="45"/>
    </row>
    <row r="144" spans="1:13" ht="63.75" thickBot="1" x14ac:dyDescent="0.3">
      <c r="A144" s="25" t="s">
        <v>325</v>
      </c>
      <c r="B144" s="26" t="s">
        <v>326</v>
      </c>
      <c r="C144" s="27"/>
      <c r="D144" s="28">
        <f>D145+D149+D152+D153+D157+D158+D162+D163</f>
        <v>1088.3</v>
      </c>
      <c r="E144" s="28">
        <f>E145+E149+E152+E153+E157+E158+E162+E163</f>
        <v>890.4</v>
      </c>
      <c r="F144" s="28">
        <f>F145+F149+F152+F153+F157+F158+F162+F163</f>
        <v>197.89999999999998</v>
      </c>
      <c r="G144" s="29">
        <f t="shared" si="6"/>
        <v>0.818156758246807</v>
      </c>
      <c r="H144" s="129"/>
      <c r="I144" s="130"/>
      <c r="J144" s="130"/>
      <c r="K144" s="130"/>
      <c r="L144" s="130"/>
      <c r="M144" s="131"/>
    </row>
    <row r="145" spans="1:13" ht="110.25" x14ac:dyDescent="0.25">
      <c r="A145" s="151" t="s">
        <v>327</v>
      </c>
      <c r="B145" s="154" t="s">
        <v>328</v>
      </c>
      <c r="C145" s="33"/>
      <c r="D145" s="34">
        <f>SUM(D146:D148)</f>
        <v>141</v>
      </c>
      <c r="E145" s="34">
        <f>SUM(E146:E148)</f>
        <v>110.2</v>
      </c>
      <c r="F145" s="34">
        <f>SUM(F146:F148)</f>
        <v>30.8</v>
      </c>
      <c r="G145" s="53">
        <f t="shared" si="6"/>
        <v>0.78156028368794328</v>
      </c>
      <c r="H145" s="33" t="s">
        <v>329</v>
      </c>
      <c r="I145" s="36" t="s">
        <v>18</v>
      </c>
      <c r="J145" s="37">
        <v>70</v>
      </c>
      <c r="K145" s="60">
        <v>86</v>
      </c>
      <c r="L145" s="33" t="s">
        <v>330</v>
      </c>
      <c r="M145" s="39"/>
    </row>
    <row r="146" spans="1:13" ht="63" x14ac:dyDescent="0.25">
      <c r="A146" s="152"/>
      <c r="B146" s="155"/>
      <c r="C146" s="41" t="s">
        <v>23</v>
      </c>
      <c r="D146" s="42">
        <v>41</v>
      </c>
      <c r="E146" s="42">
        <v>41</v>
      </c>
      <c r="F146" s="42"/>
      <c r="G146" s="57">
        <f t="shared" si="6"/>
        <v>1</v>
      </c>
      <c r="H146" s="58" t="s">
        <v>331</v>
      </c>
      <c r="I146" s="43" t="s">
        <v>332</v>
      </c>
      <c r="J146" s="44">
        <v>1</v>
      </c>
      <c r="K146" s="49">
        <v>0</v>
      </c>
      <c r="L146" s="41" t="s">
        <v>333</v>
      </c>
      <c r="M146" s="45" t="s">
        <v>1763</v>
      </c>
    </row>
    <row r="147" spans="1:13" x14ac:dyDescent="0.25">
      <c r="A147" s="152"/>
      <c r="B147" s="155"/>
      <c r="C147" s="41" t="s">
        <v>290</v>
      </c>
      <c r="D147" s="42">
        <v>30</v>
      </c>
      <c r="E147" s="42">
        <v>30</v>
      </c>
      <c r="F147" s="42"/>
      <c r="G147" s="57">
        <f t="shared" si="6"/>
        <v>1</v>
      </c>
      <c r="H147" s="58"/>
      <c r="I147" s="43"/>
      <c r="J147" s="44"/>
      <c r="K147" s="44"/>
      <c r="L147" s="41"/>
      <c r="M147" s="45"/>
    </row>
    <row r="148" spans="1:13" ht="16.5" thickBot="1" x14ac:dyDescent="0.3">
      <c r="A148" s="153"/>
      <c r="B148" s="156"/>
      <c r="C148" s="41" t="s">
        <v>37</v>
      </c>
      <c r="D148" s="42">
        <v>70</v>
      </c>
      <c r="E148" s="42">
        <v>39.200000000000003</v>
      </c>
      <c r="F148" s="42">
        <v>30.8</v>
      </c>
      <c r="G148" s="61">
        <f t="shared" si="6"/>
        <v>0.56000000000000005</v>
      </c>
      <c r="H148" s="41"/>
      <c r="I148" s="43"/>
      <c r="J148" s="44"/>
      <c r="K148" s="44"/>
      <c r="L148" s="41"/>
      <c r="M148" s="45"/>
    </row>
    <row r="149" spans="1:13" ht="78.75" customHeight="1" x14ac:dyDescent="0.25">
      <c r="A149" s="151" t="s">
        <v>334</v>
      </c>
      <c r="B149" s="154" t="s">
        <v>335</v>
      </c>
      <c r="C149" s="33"/>
      <c r="D149" s="34">
        <f>SUM(D150:D151)</f>
        <v>61</v>
      </c>
      <c r="E149" s="34">
        <f>SUM(E150:E151)</f>
        <v>17.2</v>
      </c>
      <c r="F149" s="34">
        <f>SUM(F150:F151)</f>
        <v>43.8</v>
      </c>
      <c r="G149" s="53">
        <f t="shared" si="6"/>
        <v>0.28196721311475409</v>
      </c>
      <c r="H149" s="33" t="s">
        <v>336</v>
      </c>
      <c r="I149" s="36" t="s">
        <v>337</v>
      </c>
      <c r="J149" s="37">
        <v>140</v>
      </c>
      <c r="K149" s="54">
        <v>0</v>
      </c>
      <c r="L149" s="33" t="s">
        <v>338</v>
      </c>
      <c r="M149" s="39"/>
    </row>
    <row r="150" spans="1:13" ht="47.25" x14ac:dyDescent="0.25">
      <c r="A150" s="152"/>
      <c r="B150" s="155"/>
      <c r="C150" s="41" t="s">
        <v>37</v>
      </c>
      <c r="D150" s="42">
        <v>42.4</v>
      </c>
      <c r="E150" s="42">
        <v>17.2</v>
      </c>
      <c r="F150" s="42">
        <v>25.2</v>
      </c>
      <c r="G150" s="57">
        <f t="shared" si="6"/>
        <v>0.40566037735849059</v>
      </c>
      <c r="H150" s="58" t="s">
        <v>339</v>
      </c>
      <c r="I150" s="43" t="s">
        <v>340</v>
      </c>
      <c r="J150" s="44">
        <v>3</v>
      </c>
      <c r="K150" s="49">
        <v>0</v>
      </c>
      <c r="L150" s="41"/>
      <c r="M150" s="45"/>
    </row>
    <row r="151" spans="1:13" ht="16.5" thickBot="1" x14ac:dyDescent="0.3">
      <c r="A151" s="153"/>
      <c r="B151" s="156"/>
      <c r="C151" s="41" t="s">
        <v>23</v>
      </c>
      <c r="D151" s="42">
        <v>18.600000000000001</v>
      </c>
      <c r="E151" s="42"/>
      <c r="F151" s="42">
        <v>18.600000000000001</v>
      </c>
      <c r="G151" s="61">
        <f t="shared" si="6"/>
        <v>0</v>
      </c>
      <c r="H151" s="41"/>
      <c r="I151" s="43"/>
      <c r="J151" s="44"/>
      <c r="K151" s="44"/>
      <c r="L151" s="41"/>
      <c r="M151" s="45"/>
    </row>
    <row r="152" spans="1:13" ht="63.75" thickBot="1" x14ac:dyDescent="0.3">
      <c r="A152" s="64" t="s">
        <v>341</v>
      </c>
      <c r="B152" s="65" t="s">
        <v>342</v>
      </c>
      <c r="C152" s="33" t="s">
        <v>37</v>
      </c>
      <c r="D152" s="66">
        <v>6.3</v>
      </c>
      <c r="E152" s="66">
        <v>6.2</v>
      </c>
      <c r="F152" s="66">
        <v>0.1</v>
      </c>
      <c r="G152" s="35">
        <f t="shared" si="6"/>
        <v>0.98412698412698418</v>
      </c>
      <c r="H152" s="33" t="s">
        <v>343</v>
      </c>
      <c r="I152" s="36" t="s">
        <v>18</v>
      </c>
      <c r="J152" s="37">
        <v>1</v>
      </c>
      <c r="K152" s="38">
        <v>1</v>
      </c>
      <c r="L152" s="33" t="s">
        <v>344</v>
      </c>
      <c r="M152" s="39"/>
    </row>
    <row r="153" spans="1:13" ht="94.5" x14ac:dyDescent="0.25">
      <c r="A153" s="151" t="s">
        <v>345</v>
      </c>
      <c r="B153" s="154" t="s">
        <v>346</v>
      </c>
      <c r="C153" s="33"/>
      <c r="D153" s="34">
        <f>SUM(D154:D156)</f>
        <v>167.2</v>
      </c>
      <c r="E153" s="34">
        <f>SUM(E154:E156)</f>
        <v>100.69999999999999</v>
      </c>
      <c r="F153" s="34">
        <f>SUM(F154:F156)</f>
        <v>66.5</v>
      </c>
      <c r="G153" s="53">
        <f t="shared" si="6"/>
        <v>0.60227272727272729</v>
      </c>
      <c r="H153" s="33" t="s">
        <v>347</v>
      </c>
      <c r="I153" s="36" t="s">
        <v>18</v>
      </c>
      <c r="J153" s="37">
        <v>1</v>
      </c>
      <c r="K153" s="38">
        <v>1</v>
      </c>
      <c r="L153" s="33" t="s">
        <v>348</v>
      </c>
      <c r="M153" s="39"/>
    </row>
    <row r="154" spans="1:13" ht="31.5" x14ac:dyDescent="0.25">
      <c r="A154" s="152"/>
      <c r="B154" s="155"/>
      <c r="C154" s="41" t="s">
        <v>23</v>
      </c>
      <c r="D154" s="42">
        <v>162.6</v>
      </c>
      <c r="E154" s="42">
        <v>97.6</v>
      </c>
      <c r="F154" s="42">
        <v>65</v>
      </c>
      <c r="G154" s="57">
        <f t="shared" si="6"/>
        <v>0.60024600246002457</v>
      </c>
      <c r="H154" s="58" t="s">
        <v>349</v>
      </c>
      <c r="I154" s="43" t="s">
        <v>18</v>
      </c>
      <c r="J154" s="44">
        <v>1</v>
      </c>
      <c r="K154" s="47">
        <v>1</v>
      </c>
      <c r="L154" s="41" t="s">
        <v>350</v>
      </c>
      <c r="M154" s="45"/>
    </row>
    <row r="155" spans="1:13" x14ac:dyDescent="0.25">
      <c r="A155" s="152"/>
      <c r="B155" s="155"/>
      <c r="C155" s="41" t="s">
        <v>37</v>
      </c>
      <c r="D155" s="42">
        <v>1.6</v>
      </c>
      <c r="E155" s="42">
        <v>1.6</v>
      </c>
      <c r="F155" s="42"/>
      <c r="G155" s="57">
        <f t="shared" si="6"/>
        <v>1</v>
      </c>
      <c r="H155" s="58"/>
      <c r="I155" s="43"/>
      <c r="J155" s="44"/>
      <c r="K155" s="44"/>
      <c r="L155" s="41"/>
      <c r="M155" s="45"/>
    </row>
    <row r="156" spans="1:13" ht="16.5" thickBot="1" x14ac:dyDescent="0.3">
      <c r="A156" s="153"/>
      <c r="B156" s="156"/>
      <c r="C156" s="41" t="s">
        <v>183</v>
      </c>
      <c r="D156" s="42">
        <v>3</v>
      </c>
      <c r="E156" s="42">
        <v>1.5</v>
      </c>
      <c r="F156" s="42">
        <v>1.5</v>
      </c>
      <c r="G156" s="61">
        <f t="shared" si="6"/>
        <v>0.5</v>
      </c>
      <c r="H156" s="41"/>
      <c r="I156" s="43"/>
      <c r="J156" s="44"/>
      <c r="K156" s="44"/>
      <c r="L156" s="41"/>
      <c r="M156" s="45"/>
    </row>
    <row r="157" spans="1:13" ht="95.25" thickBot="1" x14ac:dyDescent="0.3">
      <c r="A157" s="64" t="s">
        <v>351</v>
      </c>
      <c r="B157" s="65" t="s">
        <v>352</v>
      </c>
      <c r="C157" s="33" t="s">
        <v>290</v>
      </c>
      <c r="D157" s="66">
        <v>33</v>
      </c>
      <c r="E157" s="66">
        <v>32.9</v>
      </c>
      <c r="F157" s="66">
        <v>0.1</v>
      </c>
      <c r="G157" s="35">
        <f t="shared" si="6"/>
        <v>0.99696969696969695</v>
      </c>
      <c r="H157" s="33" t="s">
        <v>353</v>
      </c>
      <c r="I157" s="36" t="s">
        <v>266</v>
      </c>
      <c r="J157" s="37">
        <v>420</v>
      </c>
      <c r="K157" s="62">
        <v>230.59</v>
      </c>
      <c r="L157" s="33" t="s">
        <v>354</v>
      </c>
      <c r="M157" s="39"/>
    </row>
    <row r="158" spans="1:13" ht="141.75" x14ac:dyDescent="0.25">
      <c r="A158" s="151" t="s">
        <v>355</v>
      </c>
      <c r="B158" s="154" t="s">
        <v>356</v>
      </c>
      <c r="C158" s="33"/>
      <c r="D158" s="34">
        <f>SUM(D159:D161)</f>
        <v>664.8</v>
      </c>
      <c r="E158" s="34">
        <f>SUM(E159:E161)</f>
        <v>613.79999999999995</v>
      </c>
      <c r="F158" s="34">
        <f>SUM(F159:F161)</f>
        <v>51</v>
      </c>
      <c r="G158" s="53">
        <f t="shared" si="6"/>
        <v>0.9232851985559567</v>
      </c>
      <c r="H158" s="33" t="s">
        <v>357</v>
      </c>
      <c r="I158" s="36" t="s">
        <v>358</v>
      </c>
      <c r="J158" s="37">
        <v>10</v>
      </c>
      <c r="K158" s="38">
        <v>10</v>
      </c>
      <c r="L158" s="33" t="s">
        <v>359</v>
      </c>
      <c r="M158" s="39" t="s">
        <v>1764</v>
      </c>
    </row>
    <row r="159" spans="1:13" ht="31.5" x14ac:dyDescent="0.25">
      <c r="A159" s="152"/>
      <c r="B159" s="155"/>
      <c r="C159" s="41" t="s">
        <v>37</v>
      </c>
      <c r="D159" s="42">
        <v>235.3</v>
      </c>
      <c r="E159" s="42">
        <v>222.9</v>
      </c>
      <c r="F159" s="42">
        <v>12.4</v>
      </c>
      <c r="G159" s="57">
        <f t="shared" si="6"/>
        <v>0.94730131746706325</v>
      </c>
      <c r="H159" s="58" t="s">
        <v>240</v>
      </c>
      <c r="I159" s="43" t="s">
        <v>27</v>
      </c>
      <c r="J159" s="44">
        <v>60</v>
      </c>
      <c r="K159" s="63">
        <v>65</v>
      </c>
      <c r="L159" s="41"/>
      <c r="M159" s="45"/>
    </row>
    <row r="160" spans="1:13" x14ac:dyDescent="0.25">
      <c r="A160" s="152"/>
      <c r="B160" s="155"/>
      <c r="C160" s="41" t="s">
        <v>23</v>
      </c>
      <c r="D160" s="42">
        <v>30</v>
      </c>
      <c r="E160" s="42"/>
      <c r="F160" s="42">
        <v>30</v>
      </c>
      <c r="G160" s="57">
        <f t="shared" si="6"/>
        <v>0</v>
      </c>
      <c r="H160" s="58"/>
      <c r="I160" s="43"/>
      <c r="J160" s="44"/>
      <c r="K160" s="44"/>
      <c r="L160" s="41"/>
      <c r="M160" s="45"/>
    </row>
    <row r="161" spans="1:17" ht="16.5" thickBot="1" x14ac:dyDescent="0.3">
      <c r="A161" s="153"/>
      <c r="B161" s="156"/>
      <c r="C161" s="41" t="s">
        <v>208</v>
      </c>
      <c r="D161" s="42">
        <v>399.5</v>
      </c>
      <c r="E161" s="42">
        <v>390.9</v>
      </c>
      <c r="F161" s="42">
        <v>8.6</v>
      </c>
      <c r="G161" s="61">
        <f t="shared" si="6"/>
        <v>0.97847309136420524</v>
      </c>
      <c r="H161" s="41"/>
      <c r="I161" s="43"/>
      <c r="J161" s="44"/>
      <c r="K161" s="44"/>
      <c r="L161" s="41"/>
      <c r="M161" s="45"/>
    </row>
    <row r="162" spans="1:17" ht="79.5" thickBot="1" x14ac:dyDescent="0.3">
      <c r="A162" s="64" t="s">
        <v>360</v>
      </c>
      <c r="B162" s="65" t="s">
        <v>361</v>
      </c>
      <c r="C162" s="33" t="s">
        <v>290</v>
      </c>
      <c r="D162" s="66">
        <v>5</v>
      </c>
      <c r="E162" s="66"/>
      <c r="F162" s="66">
        <v>5</v>
      </c>
      <c r="G162" s="35">
        <f t="shared" si="6"/>
        <v>0</v>
      </c>
      <c r="H162" s="33" t="s">
        <v>362</v>
      </c>
      <c r="I162" s="36" t="s">
        <v>27</v>
      </c>
      <c r="J162" s="37">
        <v>100</v>
      </c>
      <c r="K162" s="54">
        <v>0</v>
      </c>
      <c r="L162" s="33" t="s">
        <v>363</v>
      </c>
      <c r="M162" s="39" t="s">
        <v>1765</v>
      </c>
    </row>
    <row r="163" spans="1:17" ht="126.75" thickBot="1" x14ac:dyDescent="0.3">
      <c r="A163" s="64" t="s">
        <v>364</v>
      </c>
      <c r="B163" s="65" t="s">
        <v>365</v>
      </c>
      <c r="C163" s="33" t="s">
        <v>23</v>
      </c>
      <c r="D163" s="66">
        <v>10</v>
      </c>
      <c r="E163" s="66">
        <v>9.4</v>
      </c>
      <c r="F163" s="66">
        <v>0.6</v>
      </c>
      <c r="G163" s="35">
        <f t="shared" si="6"/>
        <v>0.94000000000000006</v>
      </c>
      <c r="H163" s="33" t="s">
        <v>366</v>
      </c>
      <c r="I163" s="36" t="s">
        <v>340</v>
      </c>
      <c r="J163" s="37">
        <v>16</v>
      </c>
      <c r="K163" s="38">
        <v>16</v>
      </c>
      <c r="L163" s="33" t="s">
        <v>367</v>
      </c>
      <c r="M163" s="39" t="s">
        <v>1766</v>
      </c>
    </row>
    <row r="164" spans="1:17" ht="63.75" thickBot="1" x14ac:dyDescent="0.3">
      <c r="A164" s="25" t="s">
        <v>368</v>
      </c>
      <c r="B164" s="26" t="s">
        <v>369</v>
      </c>
      <c r="C164" s="27"/>
      <c r="D164" s="28">
        <f>SUM(D165:D166)</f>
        <v>13</v>
      </c>
      <c r="E164" s="28">
        <f>SUM(E165:E166)</f>
        <v>10.7</v>
      </c>
      <c r="F164" s="28">
        <f>SUM(F165:F166)</f>
        <v>2.2999999999999998</v>
      </c>
      <c r="G164" s="29">
        <f t="shared" si="6"/>
        <v>0.82307692307692304</v>
      </c>
      <c r="H164" s="129"/>
      <c r="I164" s="130"/>
      <c r="J164" s="130"/>
      <c r="K164" s="130"/>
      <c r="L164" s="130"/>
      <c r="M164" s="131"/>
    </row>
    <row r="165" spans="1:17" ht="63.75" thickBot="1" x14ac:dyDescent="0.3">
      <c r="A165" s="64" t="s">
        <v>370</v>
      </c>
      <c r="B165" s="65" t="s">
        <v>371</v>
      </c>
      <c r="C165" s="33" t="s">
        <v>290</v>
      </c>
      <c r="D165" s="66">
        <v>7.8</v>
      </c>
      <c r="E165" s="66">
        <v>7.8</v>
      </c>
      <c r="F165" s="66"/>
      <c r="G165" s="35">
        <f t="shared" si="6"/>
        <v>1</v>
      </c>
      <c r="H165" s="33" t="s">
        <v>372</v>
      </c>
      <c r="I165" s="36" t="s">
        <v>18</v>
      </c>
      <c r="J165" s="37">
        <v>5</v>
      </c>
      <c r="K165" s="62">
        <v>4</v>
      </c>
      <c r="L165" s="33" t="s">
        <v>373</v>
      </c>
      <c r="M165" s="39" t="s">
        <v>1767</v>
      </c>
    </row>
    <row r="166" spans="1:17" ht="110.25" x14ac:dyDescent="0.25">
      <c r="A166" s="151" t="s">
        <v>374</v>
      </c>
      <c r="B166" s="154" t="s">
        <v>375</v>
      </c>
      <c r="C166" s="33" t="s">
        <v>290</v>
      </c>
      <c r="D166" s="34">
        <f>SUM(D167:D169)+5.2</f>
        <v>5.2</v>
      </c>
      <c r="E166" s="34">
        <f>SUM(E167:E169)+2.9</f>
        <v>2.9</v>
      </c>
      <c r="F166" s="34">
        <f>SUM(F167:F169)+2.3</f>
        <v>2.2999999999999998</v>
      </c>
      <c r="G166" s="35">
        <f t="shared" si="6"/>
        <v>0.55769230769230771</v>
      </c>
      <c r="H166" s="33" t="s">
        <v>376</v>
      </c>
      <c r="I166" s="36" t="s">
        <v>18</v>
      </c>
      <c r="J166" s="37">
        <v>40</v>
      </c>
      <c r="K166" s="62">
        <v>28</v>
      </c>
      <c r="L166" s="33" t="s">
        <v>377</v>
      </c>
      <c r="M166" s="39"/>
    </row>
    <row r="167" spans="1:17" ht="47.25" x14ac:dyDescent="0.25">
      <c r="A167" s="152"/>
      <c r="B167" s="155"/>
      <c r="C167" s="41"/>
      <c r="D167" s="42"/>
      <c r="E167" s="42"/>
      <c r="F167" s="42"/>
      <c r="G167" s="42"/>
      <c r="H167" s="41" t="s">
        <v>378</v>
      </c>
      <c r="I167" s="43" t="s">
        <v>18</v>
      </c>
      <c r="J167" s="44">
        <v>2</v>
      </c>
      <c r="K167" s="47">
        <v>2</v>
      </c>
      <c r="L167" s="41" t="s">
        <v>379</v>
      </c>
      <c r="M167" s="45"/>
    </row>
    <row r="168" spans="1:17" ht="141.75" x14ac:dyDescent="0.25">
      <c r="A168" s="152"/>
      <c r="B168" s="155"/>
      <c r="C168" s="41"/>
      <c r="D168" s="42"/>
      <c r="E168" s="42"/>
      <c r="F168" s="42"/>
      <c r="G168" s="42"/>
      <c r="H168" s="41" t="s">
        <v>380</v>
      </c>
      <c r="I168" s="43" t="s">
        <v>18</v>
      </c>
      <c r="J168" s="44">
        <v>2</v>
      </c>
      <c r="K168" s="47">
        <v>2</v>
      </c>
      <c r="L168" s="41" t="s">
        <v>381</v>
      </c>
      <c r="M168" s="45"/>
    </row>
    <row r="169" spans="1:17" ht="32.25" thickBot="1" x14ac:dyDescent="0.3">
      <c r="A169" s="153"/>
      <c r="B169" s="156"/>
      <c r="C169" s="41"/>
      <c r="D169" s="42"/>
      <c r="E169" s="42"/>
      <c r="F169" s="42"/>
      <c r="G169" s="42"/>
      <c r="H169" s="41" t="s">
        <v>382</v>
      </c>
      <c r="I169" s="43" t="s">
        <v>18</v>
      </c>
      <c r="J169" s="44">
        <v>1</v>
      </c>
      <c r="K169" s="49">
        <v>0</v>
      </c>
      <c r="L169" s="41"/>
      <c r="M169" s="45"/>
    </row>
    <row r="170" spans="1:17" ht="48" thickBot="1" x14ac:dyDescent="0.3">
      <c r="A170" s="25" t="s">
        <v>383</v>
      </c>
      <c r="B170" s="26" t="s">
        <v>384</v>
      </c>
      <c r="C170" s="27"/>
      <c r="D170" s="28">
        <f>SUM(D171:D172)</f>
        <v>239.10000000000002</v>
      </c>
      <c r="E170" s="28">
        <f>SUM(E171:E172)</f>
        <v>0</v>
      </c>
      <c r="F170" s="28">
        <f>SUM(F171:F172)</f>
        <v>239.10000000000002</v>
      </c>
      <c r="G170" s="29">
        <f t="shared" ref="G170:G178" si="7">SUM(E170/D170)</f>
        <v>0</v>
      </c>
      <c r="H170" s="129"/>
      <c r="I170" s="130"/>
      <c r="J170" s="130"/>
      <c r="K170" s="130"/>
      <c r="L170" s="130"/>
      <c r="M170" s="131"/>
    </row>
    <row r="171" spans="1:17" ht="95.25" thickBot="1" x14ac:dyDescent="0.3">
      <c r="A171" s="64" t="s">
        <v>385</v>
      </c>
      <c r="B171" s="65" t="s">
        <v>386</v>
      </c>
      <c r="C171" s="33" t="s">
        <v>37</v>
      </c>
      <c r="D171" s="66">
        <v>24</v>
      </c>
      <c r="E171" s="66"/>
      <c r="F171" s="66">
        <v>24</v>
      </c>
      <c r="G171" s="35">
        <f t="shared" si="7"/>
        <v>0</v>
      </c>
      <c r="H171" s="33" t="s">
        <v>387</v>
      </c>
      <c r="I171" s="36" t="s">
        <v>18</v>
      </c>
      <c r="J171" s="37">
        <v>1</v>
      </c>
      <c r="K171" s="54">
        <v>0</v>
      </c>
      <c r="L171" s="33" t="s">
        <v>388</v>
      </c>
      <c r="M171" s="39" t="s">
        <v>1768</v>
      </c>
    </row>
    <row r="172" spans="1:17" ht="78.75" x14ac:dyDescent="0.25">
      <c r="A172" s="151" t="s">
        <v>389</v>
      </c>
      <c r="B172" s="154" t="s">
        <v>390</v>
      </c>
      <c r="C172" s="33"/>
      <c r="D172" s="34">
        <f>SUM(D173:D174)</f>
        <v>215.10000000000002</v>
      </c>
      <c r="E172" s="34"/>
      <c r="F172" s="34">
        <f>SUM(F173:F174)</f>
        <v>215.10000000000002</v>
      </c>
      <c r="G172" s="53">
        <f t="shared" si="7"/>
        <v>0</v>
      </c>
      <c r="H172" s="33" t="s">
        <v>391</v>
      </c>
      <c r="I172" s="36" t="s">
        <v>18</v>
      </c>
      <c r="J172" s="37">
        <v>1</v>
      </c>
      <c r="K172" s="38">
        <v>1</v>
      </c>
      <c r="L172" s="33" t="s">
        <v>392</v>
      </c>
      <c r="M172" s="39" t="s">
        <v>1769</v>
      </c>
    </row>
    <row r="173" spans="1:17" x14ac:dyDescent="0.25">
      <c r="A173" s="152"/>
      <c r="B173" s="155"/>
      <c r="C173" s="41" t="s">
        <v>208</v>
      </c>
      <c r="D173" s="42">
        <v>121.9</v>
      </c>
      <c r="E173" s="42"/>
      <c r="F173" s="42">
        <v>121.9</v>
      </c>
      <c r="G173" s="57">
        <f t="shared" si="7"/>
        <v>0</v>
      </c>
      <c r="H173" s="58"/>
      <c r="I173" s="43"/>
      <c r="J173" s="44"/>
      <c r="K173" s="44"/>
      <c r="L173" s="41"/>
      <c r="M173" s="45"/>
    </row>
    <row r="174" spans="1:17" ht="16.5" thickBot="1" x14ac:dyDescent="0.3">
      <c r="A174" s="153"/>
      <c r="B174" s="156"/>
      <c r="C174" s="41" t="s">
        <v>23</v>
      </c>
      <c r="D174" s="42">
        <v>93.2</v>
      </c>
      <c r="E174" s="42"/>
      <c r="F174" s="42">
        <v>93.2</v>
      </c>
      <c r="G174" s="61">
        <f t="shared" si="7"/>
        <v>0</v>
      </c>
      <c r="H174" s="41"/>
      <c r="I174" s="43"/>
      <c r="J174" s="44"/>
      <c r="K174" s="44"/>
      <c r="L174" s="41"/>
      <c r="M174" s="45"/>
    </row>
    <row r="175" spans="1:17" ht="63.75" thickBot="1" x14ac:dyDescent="0.3">
      <c r="A175" s="75" t="s">
        <v>393</v>
      </c>
      <c r="B175" s="76" t="s">
        <v>394</v>
      </c>
      <c r="C175" s="77"/>
      <c r="D175" s="78">
        <f>D176+D281</f>
        <v>30844.6</v>
      </c>
      <c r="E175" s="78">
        <f>E176+E281</f>
        <v>26498.2</v>
      </c>
      <c r="F175" s="78">
        <f>F176+F281</f>
        <v>4346.4000000000005</v>
      </c>
      <c r="G175" s="79">
        <f t="shared" si="7"/>
        <v>0.85908716598691515</v>
      </c>
      <c r="H175" s="126"/>
      <c r="I175" s="127"/>
      <c r="J175" s="127"/>
      <c r="K175" s="127"/>
      <c r="L175" s="127"/>
      <c r="M175" s="128"/>
      <c r="O175" s="23"/>
      <c r="P175" s="24" t="s">
        <v>1</v>
      </c>
      <c r="Q175" s="24" t="s">
        <v>1926</v>
      </c>
    </row>
    <row r="176" spans="1:17" ht="95.25" thickBot="1" x14ac:dyDescent="0.3">
      <c r="A176" s="15" t="s">
        <v>395</v>
      </c>
      <c r="B176" s="16" t="s">
        <v>396</v>
      </c>
      <c r="C176" s="17"/>
      <c r="D176" s="18">
        <f>D177+D235+D246</f>
        <v>14916.800000000001</v>
      </c>
      <c r="E176" s="18">
        <f>E177+E235+E246</f>
        <v>12317</v>
      </c>
      <c r="F176" s="18">
        <f>F177+F235+F246</f>
        <v>2599.8000000000002</v>
      </c>
      <c r="G176" s="19">
        <f t="shared" si="7"/>
        <v>0.82571328971361146</v>
      </c>
      <c r="H176" s="17" t="s">
        <v>397</v>
      </c>
      <c r="I176" s="20" t="s">
        <v>27</v>
      </c>
      <c r="J176" s="21">
        <v>100</v>
      </c>
      <c r="K176" s="21">
        <v>100</v>
      </c>
      <c r="L176" s="17"/>
      <c r="M176" s="22" t="s">
        <v>1770</v>
      </c>
      <c r="O176" s="30"/>
      <c r="P176" s="31" t="s">
        <v>1712</v>
      </c>
      <c r="Q176" s="32">
        <v>6</v>
      </c>
    </row>
    <row r="177" spans="1:17" ht="63.75" thickBot="1" x14ac:dyDescent="0.3">
      <c r="A177" s="25" t="s">
        <v>398</v>
      </c>
      <c r="B177" s="26" t="s">
        <v>399</v>
      </c>
      <c r="C177" s="27"/>
      <c r="D177" s="28">
        <f>D178+D234</f>
        <v>8506.2000000000007</v>
      </c>
      <c r="E177" s="28">
        <f>E178+E234</f>
        <v>8215</v>
      </c>
      <c r="F177" s="28">
        <f>F178+F234</f>
        <v>291.2</v>
      </c>
      <c r="G177" s="29">
        <f t="shared" si="7"/>
        <v>0.9657661470456842</v>
      </c>
      <c r="H177" s="129"/>
      <c r="I177" s="130"/>
      <c r="J177" s="130"/>
      <c r="K177" s="130"/>
      <c r="L177" s="130"/>
      <c r="M177" s="131"/>
      <c r="O177" s="40"/>
      <c r="P177" s="31" t="s">
        <v>1713</v>
      </c>
      <c r="Q177" s="32">
        <v>1</v>
      </c>
    </row>
    <row r="178" spans="1:17" ht="204.75" x14ac:dyDescent="0.25">
      <c r="A178" s="151" t="s">
        <v>400</v>
      </c>
      <c r="B178" s="154" t="s">
        <v>401</v>
      </c>
      <c r="C178" s="33"/>
      <c r="D178" s="34">
        <f>D179+D180+D181+D182+D183+D184+D185+D189+D192+D193+D197+D201+D202+D205+D208+D211+D212+D213+D216+D217+D219+D222+D225+D228+D229+D230+D233</f>
        <v>8006.2000000000007</v>
      </c>
      <c r="E178" s="34">
        <f>E179+E180+E181+E182+E183+E184+E185+E189+E192+E193+E197+E201+E202+E205+E208+E211+E212+E213+E216+E217+E219+E222+E225+E228+E229+E230+E233+0.1</f>
        <v>7715</v>
      </c>
      <c r="F178" s="34">
        <f>F179+F180+F181+F182+F183+F184+F185+F189+F192+F193+F197+F201+F202+F205+F208+F211+F212+F213+F216+F217+F219+F222+F225+F228+F229+F230+F233-0.1</f>
        <v>291.2</v>
      </c>
      <c r="G178" s="35">
        <f t="shared" si="7"/>
        <v>0.96362818815418039</v>
      </c>
      <c r="H178" s="33" t="s">
        <v>402</v>
      </c>
      <c r="I178" s="36" t="s">
        <v>27</v>
      </c>
      <c r="J178" s="37">
        <v>100</v>
      </c>
      <c r="K178" s="38">
        <v>100</v>
      </c>
      <c r="L178" s="33"/>
      <c r="M178" s="39"/>
      <c r="O178" s="1"/>
      <c r="P178" s="2" t="s">
        <v>1714</v>
      </c>
      <c r="Q178" s="48">
        <v>7</v>
      </c>
    </row>
    <row r="179" spans="1:17" ht="141.75" x14ac:dyDescent="0.25">
      <c r="A179" s="152"/>
      <c r="B179" s="155"/>
      <c r="C179" s="41"/>
      <c r="D179" s="42"/>
      <c r="E179" s="42"/>
      <c r="F179" s="42"/>
      <c r="G179" s="42"/>
      <c r="H179" s="41" t="s">
        <v>403</v>
      </c>
      <c r="I179" s="43" t="s">
        <v>27</v>
      </c>
      <c r="J179" s="44">
        <v>100</v>
      </c>
      <c r="K179" s="47">
        <v>100</v>
      </c>
      <c r="L179" s="41"/>
      <c r="M179" s="45"/>
      <c r="O179" s="50"/>
      <c r="P179" s="31" t="s">
        <v>1716</v>
      </c>
      <c r="Q179" s="51">
        <v>3</v>
      </c>
    </row>
    <row r="180" spans="1:17" ht="31.5" x14ac:dyDescent="0.25">
      <c r="A180" s="152"/>
      <c r="B180" s="155"/>
      <c r="C180" s="41"/>
      <c r="D180" s="42"/>
      <c r="E180" s="42"/>
      <c r="F180" s="42"/>
      <c r="G180" s="42"/>
      <c r="H180" s="41" t="s">
        <v>404</v>
      </c>
      <c r="I180" s="43" t="s">
        <v>18</v>
      </c>
      <c r="J180" s="44">
        <v>22</v>
      </c>
      <c r="K180" s="47">
        <v>22</v>
      </c>
      <c r="L180" s="41"/>
      <c r="M180" s="45"/>
      <c r="O180" s="52"/>
      <c r="P180" s="31" t="s">
        <v>1717</v>
      </c>
      <c r="Q180" s="48">
        <v>4</v>
      </c>
    </row>
    <row r="181" spans="1:17" ht="31.5" x14ac:dyDescent="0.25">
      <c r="A181" s="152"/>
      <c r="B181" s="155"/>
      <c r="C181" s="41"/>
      <c r="D181" s="42"/>
      <c r="E181" s="42"/>
      <c r="F181" s="42"/>
      <c r="G181" s="42"/>
      <c r="H181" s="41" t="s">
        <v>405</v>
      </c>
      <c r="I181" s="43" t="s">
        <v>358</v>
      </c>
      <c r="J181" s="44">
        <v>1</v>
      </c>
      <c r="K181" s="49">
        <v>0</v>
      </c>
      <c r="L181" s="41"/>
      <c r="M181" s="45"/>
      <c r="O181" s="23"/>
      <c r="P181" s="55" t="s">
        <v>1715</v>
      </c>
      <c r="Q181" s="48">
        <f>+SUM(Q176:Q180)</f>
        <v>21</v>
      </c>
    </row>
    <row r="182" spans="1:17" ht="32.25" thickBot="1" x14ac:dyDescent="0.3">
      <c r="A182" s="153"/>
      <c r="B182" s="156"/>
      <c r="C182" s="41"/>
      <c r="D182" s="42"/>
      <c r="E182" s="42"/>
      <c r="F182" s="42"/>
      <c r="G182" s="42"/>
      <c r="H182" s="41" t="s">
        <v>406</v>
      </c>
      <c r="I182" s="43" t="s">
        <v>18</v>
      </c>
      <c r="J182" s="44">
        <v>120</v>
      </c>
      <c r="K182" s="47">
        <v>120</v>
      </c>
      <c r="L182" s="41"/>
      <c r="M182" s="45"/>
    </row>
    <row r="183" spans="1:17" ht="79.5" thickBot="1" x14ac:dyDescent="0.3">
      <c r="A183" s="64" t="s">
        <v>407</v>
      </c>
      <c r="B183" s="65" t="s">
        <v>408</v>
      </c>
      <c r="C183" s="33" t="s">
        <v>23</v>
      </c>
      <c r="D183" s="66">
        <v>14.2</v>
      </c>
      <c r="E183" s="66">
        <v>14.2</v>
      </c>
      <c r="F183" s="66"/>
      <c r="G183" s="35">
        <f>SUM(E183/D183)</f>
        <v>1</v>
      </c>
      <c r="H183" s="33" t="s">
        <v>409</v>
      </c>
      <c r="I183" s="36" t="s">
        <v>27</v>
      </c>
      <c r="J183" s="37">
        <v>100</v>
      </c>
      <c r="K183" s="38">
        <v>100</v>
      </c>
      <c r="L183" s="33"/>
      <c r="M183" s="39"/>
    </row>
    <row r="184" spans="1:17" ht="79.5" thickBot="1" x14ac:dyDescent="0.3">
      <c r="A184" s="64" t="s">
        <v>410</v>
      </c>
      <c r="B184" s="65" t="s">
        <v>411</v>
      </c>
      <c r="C184" s="33" t="s">
        <v>23</v>
      </c>
      <c r="D184" s="66">
        <v>15</v>
      </c>
      <c r="E184" s="66">
        <v>14.6</v>
      </c>
      <c r="F184" s="66">
        <v>0.4</v>
      </c>
      <c r="G184" s="35">
        <f>SUM(E184/D184)</f>
        <v>0.97333333333333327</v>
      </c>
      <c r="H184" s="33" t="s">
        <v>409</v>
      </c>
      <c r="I184" s="36" t="s">
        <v>27</v>
      </c>
      <c r="J184" s="37">
        <v>100</v>
      </c>
      <c r="K184" s="38">
        <v>100</v>
      </c>
      <c r="L184" s="33"/>
      <c r="M184" s="39"/>
    </row>
    <row r="185" spans="1:17" ht="61.5" customHeight="1" x14ac:dyDescent="0.25">
      <c r="A185" s="151" t="s">
        <v>412</v>
      </c>
      <c r="B185" s="154" t="s">
        <v>413</v>
      </c>
      <c r="C185" s="33"/>
      <c r="D185" s="34">
        <f>SUM(D186:D188)</f>
        <v>1151.2</v>
      </c>
      <c r="E185" s="34">
        <f>SUM(E186:E188)</f>
        <v>1071.0999999999999</v>
      </c>
      <c r="F185" s="34">
        <f>SUM(F186:F188)</f>
        <v>80.099999999999994</v>
      </c>
      <c r="G185" s="53">
        <f>SUM(E185/D185)</f>
        <v>0.93042043085476012</v>
      </c>
      <c r="H185" s="33" t="s">
        <v>414</v>
      </c>
      <c r="I185" s="36" t="s">
        <v>318</v>
      </c>
      <c r="J185" s="37">
        <v>1960000</v>
      </c>
      <c r="K185" s="60">
        <v>1981801</v>
      </c>
      <c r="L185" s="33"/>
      <c r="M185" s="80" t="s">
        <v>1771</v>
      </c>
    </row>
    <row r="186" spans="1:17" ht="31.5" x14ac:dyDescent="0.25">
      <c r="A186" s="152"/>
      <c r="B186" s="155"/>
      <c r="C186" s="41" t="s">
        <v>37</v>
      </c>
      <c r="D186" s="42">
        <v>265</v>
      </c>
      <c r="E186" s="42">
        <v>226</v>
      </c>
      <c r="F186" s="42">
        <v>39</v>
      </c>
      <c r="G186" s="57">
        <f>SUM(E186/D186)</f>
        <v>0.85283018867924532</v>
      </c>
      <c r="H186" s="58" t="s">
        <v>415</v>
      </c>
      <c r="I186" s="43" t="s">
        <v>318</v>
      </c>
      <c r="J186" s="44">
        <v>5000</v>
      </c>
      <c r="K186" s="63">
        <v>125565</v>
      </c>
      <c r="L186" s="41"/>
      <c r="M186" s="81"/>
    </row>
    <row r="187" spans="1:17" ht="31.5" x14ac:dyDescent="0.25">
      <c r="A187" s="152"/>
      <c r="B187" s="155"/>
      <c r="C187" s="41" t="s">
        <v>23</v>
      </c>
      <c r="D187" s="42">
        <v>886.2</v>
      </c>
      <c r="E187" s="42">
        <v>845.1</v>
      </c>
      <c r="F187" s="42">
        <v>41.1</v>
      </c>
      <c r="G187" s="61">
        <f>SUM(E187/D187)</f>
        <v>0.95362220717670954</v>
      </c>
      <c r="H187" s="41" t="s">
        <v>416</v>
      </c>
      <c r="I187" s="43" t="s">
        <v>318</v>
      </c>
      <c r="J187" s="44">
        <v>90000000</v>
      </c>
      <c r="K187" s="82">
        <v>34665850</v>
      </c>
      <c r="L187" s="41"/>
      <c r="M187" s="81"/>
    </row>
    <row r="188" spans="1:17" ht="32.25" thickBot="1" x14ac:dyDescent="0.3">
      <c r="A188" s="153"/>
      <c r="B188" s="156"/>
      <c r="C188" s="41"/>
      <c r="D188" s="42"/>
      <c r="E188" s="42"/>
      <c r="F188" s="42"/>
      <c r="G188" s="42"/>
      <c r="H188" s="41" t="s">
        <v>417</v>
      </c>
      <c r="I188" s="43" t="s">
        <v>337</v>
      </c>
      <c r="J188" s="44">
        <v>235000</v>
      </c>
      <c r="K188" s="63">
        <v>471778</v>
      </c>
      <c r="L188" s="41"/>
      <c r="M188" s="81"/>
    </row>
    <row r="189" spans="1:17" ht="63" x14ac:dyDescent="0.25">
      <c r="A189" s="151" t="s">
        <v>418</v>
      </c>
      <c r="B189" s="154" t="s">
        <v>419</v>
      </c>
      <c r="C189" s="33"/>
      <c r="D189" s="34">
        <f>SUM(D190:D191)</f>
        <v>900</v>
      </c>
      <c r="E189" s="34">
        <f>SUM(E190:E191)-0.1</f>
        <v>872.3</v>
      </c>
      <c r="F189" s="34">
        <f>SUM(F190:F191)+0.1</f>
        <v>27.700000000000003</v>
      </c>
      <c r="G189" s="53">
        <f>SUM(E189/D189)</f>
        <v>0.96922222222222221</v>
      </c>
      <c r="H189" s="33" t="s">
        <v>420</v>
      </c>
      <c r="I189" s="36" t="s">
        <v>318</v>
      </c>
      <c r="J189" s="37">
        <v>600000</v>
      </c>
      <c r="K189" s="60">
        <v>622225</v>
      </c>
      <c r="L189" s="33"/>
      <c r="M189" s="80" t="s">
        <v>1772</v>
      </c>
    </row>
    <row r="190" spans="1:17" ht="47.25" x14ac:dyDescent="0.25">
      <c r="A190" s="152"/>
      <c r="B190" s="155"/>
      <c r="C190" s="41" t="s">
        <v>37</v>
      </c>
      <c r="D190" s="42">
        <v>234.5</v>
      </c>
      <c r="E190" s="42">
        <v>231.9</v>
      </c>
      <c r="F190" s="42">
        <v>2.6</v>
      </c>
      <c r="G190" s="57">
        <f>SUM(E190/D190)</f>
        <v>0.98891257995735615</v>
      </c>
      <c r="H190" s="58" t="s">
        <v>421</v>
      </c>
      <c r="I190" s="43" t="s">
        <v>318</v>
      </c>
      <c r="J190" s="44">
        <v>26000000</v>
      </c>
      <c r="K190" s="72">
        <v>14246080</v>
      </c>
      <c r="L190" s="41"/>
      <c r="M190" s="45"/>
    </row>
    <row r="191" spans="1:17" ht="16.5" thickBot="1" x14ac:dyDescent="0.3">
      <c r="A191" s="153"/>
      <c r="B191" s="156"/>
      <c r="C191" s="41" t="s">
        <v>23</v>
      </c>
      <c r="D191" s="42">
        <v>665.5</v>
      </c>
      <c r="E191" s="42">
        <v>640.5</v>
      </c>
      <c r="F191" s="42">
        <v>25</v>
      </c>
      <c r="G191" s="61">
        <f>SUM(E191/D191)</f>
        <v>0.96243425995492116</v>
      </c>
      <c r="H191" s="41" t="s">
        <v>422</v>
      </c>
      <c r="I191" s="43" t="s">
        <v>18</v>
      </c>
      <c r="J191" s="44">
        <v>810</v>
      </c>
      <c r="K191" s="47">
        <v>810</v>
      </c>
      <c r="L191" s="41"/>
      <c r="M191" s="45"/>
    </row>
    <row r="192" spans="1:17" ht="48" thickBot="1" x14ac:dyDescent="0.3">
      <c r="A192" s="64" t="s">
        <v>423</v>
      </c>
      <c r="B192" s="65" t="s">
        <v>424</v>
      </c>
      <c r="C192" s="33" t="s">
        <v>23</v>
      </c>
      <c r="D192" s="66">
        <v>298.7</v>
      </c>
      <c r="E192" s="66">
        <v>298.7</v>
      </c>
      <c r="F192" s="66"/>
      <c r="G192" s="35">
        <f>SUM(E192/D192)</f>
        <v>1</v>
      </c>
      <c r="H192" s="33" t="s">
        <v>425</v>
      </c>
      <c r="I192" s="36" t="s">
        <v>318</v>
      </c>
      <c r="J192" s="37">
        <v>2200000</v>
      </c>
      <c r="K192" s="60">
        <v>2235836</v>
      </c>
      <c r="L192" s="33" t="s">
        <v>426</v>
      </c>
      <c r="M192" s="39"/>
    </row>
    <row r="193" spans="1:13" ht="30" customHeight="1" x14ac:dyDescent="0.25">
      <c r="A193" s="151" t="s">
        <v>427</v>
      </c>
      <c r="B193" s="154" t="s">
        <v>428</v>
      </c>
      <c r="C193" s="33" t="s">
        <v>23</v>
      </c>
      <c r="D193" s="34">
        <f>SUM(D194:D196)+156.9</f>
        <v>156.9</v>
      </c>
      <c r="E193" s="34">
        <f>SUM(E194:E196)+156</f>
        <v>156</v>
      </c>
      <c r="F193" s="34">
        <f>SUM(F194:F196)+0.9</f>
        <v>0.9</v>
      </c>
      <c r="G193" s="35">
        <f>SUM(E193/D193)</f>
        <v>0.99426386233269592</v>
      </c>
      <c r="H193" s="33" t="s">
        <v>429</v>
      </c>
      <c r="I193" s="36" t="s">
        <v>318</v>
      </c>
      <c r="J193" s="37">
        <v>8870</v>
      </c>
      <c r="K193" s="62">
        <v>8113</v>
      </c>
      <c r="L193" s="33"/>
      <c r="M193" s="39"/>
    </row>
    <row r="194" spans="1:13" x14ac:dyDescent="0.25">
      <c r="A194" s="152"/>
      <c r="B194" s="155"/>
      <c r="C194" s="41"/>
      <c r="D194" s="42"/>
      <c r="E194" s="42"/>
      <c r="F194" s="42"/>
      <c r="G194" s="42"/>
      <c r="H194" s="41" t="s">
        <v>430</v>
      </c>
      <c r="I194" s="43" t="s">
        <v>18</v>
      </c>
      <c r="J194" s="44">
        <v>60000</v>
      </c>
      <c r="K194" s="72">
        <v>32522</v>
      </c>
      <c r="L194" s="41"/>
      <c r="M194" s="45"/>
    </row>
    <row r="195" spans="1:13" ht="31.5" x14ac:dyDescent="0.25">
      <c r="A195" s="152"/>
      <c r="B195" s="155"/>
      <c r="C195" s="41"/>
      <c r="D195" s="42"/>
      <c r="E195" s="42"/>
      <c r="F195" s="42"/>
      <c r="G195" s="42"/>
      <c r="H195" s="41" t="s">
        <v>431</v>
      </c>
      <c r="I195" s="43" t="s">
        <v>318</v>
      </c>
      <c r="J195" s="44">
        <v>50</v>
      </c>
      <c r="K195" s="63">
        <v>3421</v>
      </c>
      <c r="L195" s="41" t="s">
        <v>432</v>
      </c>
      <c r="M195" s="45"/>
    </row>
    <row r="196" spans="1:13" ht="16.5" thickBot="1" x14ac:dyDescent="0.3">
      <c r="A196" s="153"/>
      <c r="B196" s="156"/>
      <c r="C196" s="41"/>
      <c r="D196" s="42"/>
      <c r="E196" s="42"/>
      <c r="F196" s="42"/>
      <c r="G196" s="42"/>
      <c r="H196" s="41" t="s">
        <v>433</v>
      </c>
      <c r="I196" s="43" t="s">
        <v>18</v>
      </c>
      <c r="J196" s="44">
        <v>500</v>
      </c>
      <c r="K196" s="72">
        <v>405</v>
      </c>
      <c r="L196" s="41"/>
      <c r="M196" s="45"/>
    </row>
    <row r="197" spans="1:13" ht="31.5" x14ac:dyDescent="0.25">
      <c r="A197" s="151" t="s">
        <v>434</v>
      </c>
      <c r="B197" s="154" t="s">
        <v>435</v>
      </c>
      <c r="C197" s="33"/>
      <c r="D197" s="34">
        <f>SUM(D198:D200)</f>
        <v>289.5</v>
      </c>
      <c r="E197" s="34">
        <f>SUM(E198:E200)</f>
        <v>283.7</v>
      </c>
      <c r="F197" s="34">
        <f>SUM(F198:F200)</f>
        <v>5.8</v>
      </c>
      <c r="G197" s="53">
        <f t="shared" ref="G197:G202" si="8">SUM(E197/D197)</f>
        <v>0.9799654576856649</v>
      </c>
      <c r="H197" s="33" t="s">
        <v>436</v>
      </c>
      <c r="I197" s="36" t="s">
        <v>318</v>
      </c>
      <c r="J197" s="37">
        <v>108900</v>
      </c>
      <c r="K197" s="38">
        <v>108900</v>
      </c>
      <c r="L197" s="83" t="s">
        <v>1705</v>
      </c>
      <c r="M197" s="39"/>
    </row>
    <row r="198" spans="1:13" ht="47.25" x14ac:dyDescent="0.25">
      <c r="A198" s="152"/>
      <c r="B198" s="155"/>
      <c r="C198" s="41" t="s">
        <v>23</v>
      </c>
      <c r="D198" s="42">
        <v>100</v>
      </c>
      <c r="E198" s="42">
        <v>100</v>
      </c>
      <c r="F198" s="42"/>
      <c r="G198" s="57">
        <f t="shared" si="8"/>
        <v>1</v>
      </c>
      <c r="H198" s="58" t="s">
        <v>437</v>
      </c>
      <c r="I198" s="43" t="s">
        <v>18</v>
      </c>
      <c r="J198" s="44">
        <v>90</v>
      </c>
      <c r="K198" s="47">
        <v>90</v>
      </c>
      <c r="L198" s="41" t="s">
        <v>438</v>
      </c>
      <c r="M198" s="45"/>
    </row>
    <row r="199" spans="1:13" x14ac:dyDescent="0.25">
      <c r="A199" s="152"/>
      <c r="B199" s="155"/>
      <c r="C199" s="41" t="s">
        <v>78</v>
      </c>
      <c r="D199" s="42">
        <v>9</v>
      </c>
      <c r="E199" s="42">
        <v>3.5</v>
      </c>
      <c r="F199" s="42">
        <v>5.5</v>
      </c>
      <c r="G199" s="57">
        <f t="shared" si="8"/>
        <v>0.3888888888888889</v>
      </c>
      <c r="H199" s="58"/>
      <c r="I199" s="43"/>
      <c r="J199" s="44"/>
      <c r="K199" s="44"/>
      <c r="L199" s="41"/>
      <c r="M199" s="45"/>
    </row>
    <row r="200" spans="1:13" ht="16.5" thickBot="1" x14ac:dyDescent="0.3">
      <c r="A200" s="153"/>
      <c r="B200" s="156"/>
      <c r="C200" s="41" t="s">
        <v>37</v>
      </c>
      <c r="D200" s="42">
        <v>180.5</v>
      </c>
      <c r="E200" s="42">
        <v>180.2</v>
      </c>
      <c r="F200" s="42">
        <v>0.3</v>
      </c>
      <c r="G200" s="61">
        <f t="shared" si="8"/>
        <v>0.99833795013850413</v>
      </c>
      <c r="H200" s="41"/>
      <c r="I200" s="43"/>
      <c r="J200" s="44"/>
      <c r="K200" s="44"/>
      <c r="L200" s="41"/>
      <c r="M200" s="45"/>
    </row>
    <row r="201" spans="1:13" ht="111" thickBot="1" x14ac:dyDescent="0.3">
      <c r="A201" s="64" t="s">
        <v>439</v>
      </c>
      <c r="B201" s="65" t="s">
        <v>440</v>
      </c>
      <c r="C201" s="33" t="s">
        <v>23</v>
      </c>
      <c r="D201" s="66">
        <v>41.9</v>
      </c>
      <c r="E201" s="66">
        <v>41.8</v>
      </c>
      <c r="F201" s="66">
        <v>0.1</v>
      </c>
      <c r="G201" s="35">
        <f t="shared" si="8"/>
        <v>0.99761336515513122</v>
      </c>
      <c r="H201" s="33" t="s">
        <v>441</v>
      </c>
      <c r="I201" s="36" t="s">
        <v>18</v>
      </c>
      <c r="J201" s="37">
        <v>250</v>
      </c>
      <c r="K201" s="62">
        <v>225</v>
      </c>
      <c r="L201" s="33" t="s">
        <v>442</v>
      </c>
      <c r="M201" s="39"/>
    </row>
    <row r="202" spans="1:13" ht="47.25" x14ac:dyDescent="0.25">
      <c r="A202" s="151" t="s">
        <v>443</v>
      </c>
      <c r="B202" s="154" t="s">
        <v>444</v>
      </c>
      <c r="C202" s="33" t="s">
        <v>23</v>
      </c>
      <c r="D202" s="34">
        <f>SUM(D203:D204)+1840</f>
        <v>1840</v>
      </c>
      <c r="E202" s="34">
        <f>SUM(E203:E204)+1737.4</f>
        <v>1737.4</v>
      </c>
      <c r="F202" s="34">
        <f>SUM(F203:F204)+102.6</f>
        <v>102.6</v>
      </c>
      <c r="G202" s="35">
        <f t="shared" si="8"/>
        <v>0.94423913043478269</v>
      </c>
      <c r="H202" s="33" t="s">
        <v>445</v>
      </c>
      <c r="I202" s="36" t="s">
        <v>18</v>
      </c>
      <c r="J202" s="37">
        <v>13000</v>
      </c>
      <c r="K202" s="60">
        <v>14306</v>
      </c>
      <c r="L202" s="33" t="s">
        <v>446</v>
      </c>
      <c r="M202" s="39"/>
    </row>
    <row r="203" spans="1:13" x14ac:dyDescent="0.25">
      <c r="A203" s="152"/>
      <c r="B203" s="155"/>
      <c r="C203" s="41"/>
      <c r="D203" s="42"/>
      <c r="E203" s="42"/>
      <c r="F203" s="42"/>
      <c r="G203" s="42"/>
      <c r="H203" s="41" t="s">
        <v>447</v>
      </c>
      <c r="I203" s="43" t="s">
        <v>18</v>
      </c>
      <c r="J203" s="44">
        <v>49</v>
      </c>
      <c r="K203" s="72">
        <v>48</v>
      </c>
      <c r="L203" s="41"/>
      <c r="M203" s="45"/>
    </row>
    <row r="204" spans="1:13" ht="16.5" thickBot="1" x14ac:dyDescent="0.3">
      <c r="A204" s="153"/>
      <c r="B204" s="156"/>
      <c r="C204" s="41"/>
      <c r="D204" s="42"/>
      <c r="E204" s="42"/>
      <c r="F204" s="42"/>
      <c r="G204" s="42"/>
      <c r="H204" s="41" t="s">
        <v>448</v>
      </c>
      <c r="I204" s="43" t="s">
        <v>18</v>
      </c>
      <c r="J204" s="44">
        <v>7800</v>
      </c>
      <c r="K204" s="63">
        <v>10195</v>
      </c>
      <c r="L204" s="41"/>
      <c r="M204" s="45"/>
    </row>
    <row r="205" spans="1:13" ht="63" x14ac:dyDescent="0.25">
      <c r="A205" s="151" t="s">
        <v>449</v>
      </c>
      <c r="B205" s="154" t="s">
        <v>450</v>
      </c>
      <c r="C205" s="33"/>
      <c r="D205" s="34">
        <f>SUM(D206:D207)</f>
        <v>1395</v>
      </c>
      <c r="E205" s="34">
        <f>SUM(E206:E207)</f>
        <v>1395</v>
      </c>
      <c r="F205" s="34"/>
      <c r="G205" s="53">
        <f t="shared" ref="G205:G217" si="9">SUM(E205/D205)</f>
        <v>1</v>
      </c>
      <c r="H205" s="33" t="s">
        <v>451</v>
      </c>
      <c r="I205" s="36" t="s">
        <v>452</v>
      </c>
      <c r="J205" s="84">
        <v>5000000</v>
      </c>
      <c r="K205" s="60">
        <v>4628767</v>
      </c>
      <c r="L205" s="33" t="s">
        <v>453</v>
      </c>
      <c r="M205" s="39"/>
    </row>
    <row r="206" spans="1:13" x14ac:dyDescent="0.25">
      <c r="A206" s="152"/>
      <c r="B206" s="155"/>
      <c r="C206" s="41" t="s">
        <v>37</v>
      </c>
      <c r="D206" s="42">
        <v>451.3</v>
      </c>
      <c r="E206" s="42">
        <v>451.3</v>
      </c>
      <c r="F206" s="42"/>
      <c r="G206" s="57">
        <f t="shared" si="9"/>
        <v>1</v>
      </c>
      <c r="H206" s="58"/>
      <c r="I206" s="43"/>
      <c r="J206" s="44"/>
      <c r="K206" s="44"/>
      <c r="L206" s="41"/>
      <c r="M206" s="45"/>
    </row>
    <row r="207" spans="1:13" ht="16.5" thickBot="1" x14ac:dyDescent="0.3">
      <c r="A207" s="153"/>
      <c r="B207" s="156"/>
      <c r="C207" s="41" t="s">
        <v>23</v>
      </c>
      <c r="D207" s="42">
        <v>943.7</v>
      </c>
      <c r="E207" s="42">
        <v>943.7</v>
      </c>
      <c r="F207" s="42"/>
      <c r="G207" s="61">
        <f t="shared" si="9"/>
        <v>1</v>
      </c>
      <c r="H207" s="41"/>
      <c r="I207" s="43"/>
      <c r="J207" s="44"/>
      <c r="K207" s="44"/>
      <c r="L207" s="41"/>
      <c r="M207" s="45"/>
    </row>
    <row r="208" spans="1:13" ht="63" x14ac:dyDescent="0.25">
      <c r="A208" s="151" t="s">
        <v>454</v>
      </c>
      <c r="B208" s="154" t="s">
        <v>455</v>
      </c>
      <c r="C208" s="33"/>
      <c r="D208" s="34">
        <f>SUM(D209:D210)</f>
        <v>100.9</v>
      </c>
      <c r="E208" s="34">
        <f>SUM(E209:E210)</f>
        <v>99.7</v>
      </c>
      <c r="F208" s="34">
        <f>SUM(F209:F210)</f>
        <v>1.2</v>
      </c>
      <c r="G208" s="53">
        <f t="shared" si="9"/>
        <v>0.98810703666997024</v>
      </c>
      <c r="H208" s="33" t="s">
        <v>456</v>
      </c>
      <c r="I208" s="36" t="s">
        <v>18</v>
      </c>
      <c r="J208" s="37">
        <v>40</v>
      </c>
      <c r="K208" s="38">
        <v>40</v>
      </c>
      <c r="L208" s="33" t="s">
        <v>457</v>
      </c>
      <c r="M208" s="39"/>
    </row>
    <row r="209" spans="1:13" x14ac:dyDescent="0.25">
      <c r="A209" s="152"/>
      <c r="B209" s="155"/>
      <c r="C209" s="41" t="s">
        <v>23</v>
      </c>
      <c r="D209" s="42">
        <v>50.9</v>
      </c>
      <c r="E209" s="42">
        <v>49.7</v>
      </c>
      <c r="F209" s="42">
        <v>1.2</v>
      </c>
      <c r="G209" s="57">
        <f t="shared" si="9"/>
        <v>0.97642436149312384</v>
      </c>
      <c r="H209" s="58"/>
      <c r="I209" s="43"/>
      <c r="J209" s="44"/>
      <c r="K209" s="44"/>
      <c r="L209" s="41"/>
      <c r="M209" s="45"/>
    </row>
    <row r="210" spans="1:13" ht="16.5" thickBot="1" x14ac:dyDescent="0.3">
      <c r="A210" s="153"/>
      <c r="B210" s="156"/>
      <c r="C210" s="41" t="s">
        <v>37</v>
      </c>
      <c r="D210" s="42">
        <v>50</v>
      </c>
      <c r="E210" s="42">
        <v>50</v>
      </c>
      <c r="F210" s="42"/>
      <c r="G210" s="61">
        <f t="shared" si="9"/>
        <v>1</v>
      </c>
      <c r="H210" s="41"/>
      <c r="I210" s="43"/>
      <c r="J210" s="44"/>
      <c r="K210" s="44"/>
      <c r="L210" s="41"/>
      <c r="M210" s="45"/>
    </row>
    <row r="211" spans="1:13" ht="79.5" thickBot="1" x14ac:dyDescent="0.3">
      <c r="A211" s="64" t="s">
        <v>458</v>
      </c>
      <c r="B211" s="65" t="s">
        <v>459</v>
      </c>
      <c r="C211" s="33" t="s">
        <v>23</v>
      </c>
      <c r="D211" s="66">
        <v>92.8</v>
      </c>
      <c r="E211" s="66">
        <v>92.8</v>
      </c>
      <c r="F211" s="66"/>
      <c r="G211" s="35">
        <f t="shared" si="9"/>
        <v>1</v>
      </c>
      <c r="H211" s="33" t="s">
        <v>460</v>
      </c>
      <c r="I211" s="36" t="s">
        <v>461</v>
      </c>
      <c r="J211" s="37">
        <v>275000</v>
      </c>
      <c r="K211" s="60">
        <v>324497.88</v>
      </c>
      <c r="L211" s="33" t="s">
        <v>462</v>
      </c>
      <c r="M211" s="80" t="s">
        <v>1703</v>
      </c>
    </row>
    <row r="212" spans="1:13" ht="63.75" thickBot="1" x14ac:dyDescent="0.3">
      <c r="A212" s="64" t="s">
        <v>463</v>
      </c>
      <c r="B212" s="65" t="s">
        <v>464</v>
      </c>
      <c r="C212" s="33" t="s">
        <v>23</v>
      </c>
      <c r="D212" s="66">
        <v>2.6</v>
      </c>
      <c r="E212" s="66">
        <v>2.6</v>
      </c>
      <c r="F212" s="66"/>
      <c r="G212" s="35">
        <f t="shared" si="9"/>
        <v>1</v>
      </c>
      <c r="H212" s="33" t="s">
        <v>465</v>
      </c>
      <c r="I212" s="36" t="s">
        <v>461</v>
      </c>
      <c r="J212" s="37">
        <v>5000</v>
      </c>
      <c r="K212" s="74">
        <v>1820</v>
      </c>
      <c r="L212" s="33" t="s">
        <v>466</v>
      </c>
      <c r="M212" s="39"/>
    </row>
    <row r="213" spans="1:13" ht="45" customHeight="1" x14ac:dyDescent="0.25">
      <c r="A213" s="151" t="s">
        <v>467</v>
      </c>
      <c r="B213" s="154" t="s">
        <v>468</v>
      </c>
      <c r="C213" s="33"/>
      <c r="D213" s="34">
        <f>SUM(D214:D215)</f>
        <v>295.8</v>
      </c>
      <c r="E213" s="34">
        <f>SUM(E214:E215)</f>
        <v>244</v>
      </c>
      <c r="F213" s="34">
        <f>SUM(F214:F215)</f>
        <v>51.800000000000004</v>
      </c>
      <c r="G213" s="53">
        <f t="shared" si="9"/>
        <v>0.82488167680865443</v>
      </c>
      <c r="H213" s="33" t="s">
        <v>469</v>
      </c>
      <c r="I213" s="36" t="s">
        <v>18</v>
      </c>
      <c r="J213" s="37">
        <v>30</v>
      </c>
      <c r="K213" s="38">
        <v>30</v>
      </c>
      <c r="L213" s="33" t="s">
        <v>470</v>
      </c>
      <c r="M213" s="39" t="s">
        <v>471</v>
      </c>
    </row>
    <row r="214" spans="1:13" ht="63" x14ac:dyDescent="0.25">
      <c r="A214" s="152"/>
      <c r="B214" s="155"/>
      <c r="C214" s="41" t="s">
        <v>23</v>
      </c>
      <c r="D214" s="42">
        <v>190</v>
      </c>
      <c r="E214" s="42">
        <v>189.4</v>
      </c>
      <c r="F214" s="42">
        <v>0.6</v>
      </c>
      <c r="G214" s="57">
        <f t="shared" si="9"/>
        <v>0.99684210526315797</v>
      </c>
      <c r="H214" s="58" t="s">
        <v>472</v>
      </c>
      <c r="I214" s="43" t="s">
        <v>473</v>
      </c>
      <c r="J214" s="44">
        <v>100</v>
      </c>
      <c r="K214" s="47">
        <v>100</v>
      </c>
      <c r="L214" s="41" t="s">
        <v>474</v>
      </c>
      <c r="M214" s="45" t="s">
        <v>475</v>
      </c>
    </row>
    <row r="215" spans="1:13" ht="16.5" thickBot="1" x14ac:dyDescent="0.3">
      <c r="A215" s="153"/>
      <c r="B215" s="156"/>
      <c r="C215" s="41" t="s">
        <v>37</v>
      </c>
      <c r="D215" s="42">
        <v>105.8</v>
      </c>
      <c r="E215" s="42">
        <v>54.6</v>
      </c>
      <c r="F215" s="42">
        <v>51.2</v>
      </c>
      <c r="G215" s="61">
        <f t="shared" si="9"/>
        <v>0.51606805293005675</v>
      </c>
      <c r="H215" s="41"/>
      <c r="I215" s="43"/>
      <c r="J215" s="44"/>
      <c r="K215" s="44"/>
      <c r="L215" s="41"/>
      <c r="M215" s="45"/>
    </row>
    <row r="216" spans="1:13" ht="32.25" thickBot="1" x14ac:dyDescent="0.3">
      <c r="A216" s="64" t="s">
        <v>476</v>
      </c>
      <c r="B216" s="65" t="s">
        <v>477</v>
      </c>
      <c r="C216" s="33" t="s">
        <v>23</v>
      </c>
      <c r="D216" s="66">
        <v>5.6</v>
      </c>
      <c r="E216" s="66">
        <v>5.5</v>
      </c>
      <c r="F216" s="66">
        <v>0.1</v>
      </c>
      <c r="G216" s="35">
        <f t="shared" si="9"/>
        <v>0.98214285714285721</v>
      </c>
      <c r="H216" s="33" t="s">
        <v>478</v>
      </c>
      <c r="I216" s="36" t="s">
        <v>18</v>
      </c>
      <c r="J216" s="37">
        <v>12</v>
      </c>
      <c r="K216" s="60">
        <v>13</v>
      </c>
      <c r="L216" s="33" t="s">
        <v>479</v>
      </c>
      <c r="M216" s="39"/>
    </row>
    <row r="217" spans="1:13" ht="47.25" x14ac:dyDescent="0.25">
      <c r="A217" s="151" t="s">
        <v>480</v>
      </c>
      <c r="B217" s="154" t="s">
        <v>481</v>
      </c>
      <c r="C217" s="33" t="s">
        <v>23</v>
      </c>
      <c r="D217" s="34">
        <f>SUM(D218:D218)+14.4</f>
        <v>14.4</v>
      </c>
      <c r="E217" s="34">
        <f>SUM(E218:E218)+14.3</f>
        <v>14.3</v>
      </c>
      <c r="F217" s="34">
        <f>SUM(F218:F218)+0.1</f>
        <v>0.1</v>
      </c>
      <c r="G217" s="35">
        <f t="shared" si="9"/>
        <v>0.99305555555555558</v>
      </c>
      <c r="H217" s="33" t="s">
        <v>482</v>
      </c>
      <c r="I217" s="36" t="s">
        <v>18</v>
      </c>
      <c r="J217" s="37">
        <v>250</v>
      </c>
      <c r="K217" s="62">
        <v>212</v>
      </c>
      <c r="L217" s="33" t="s">
        <v>483</v>
      </c>
      <c r="M217" s="39"/>
    </row>
    <row r="218" spans="1:13" ht="32.25" thickBot="1" x14ac:dyDescent="0.3">
      <c r="A218" s="153"/>
      <c r="B218" s="156"/>
      <c r="C218" s="41"/>
      <c r="D218" s="42"/>
      <c r="E218" s="42"/>
      <c r="F218" s="42"/>
      <c r="G218" s="42"/>
      <c r="H218" s="41" t="s">
        <v>484</v>
      </c>
      <c r="I218" s="43" t="s">
        <v>485</v>
      </c>
      <c r="J218" s="44">
        <v>2200</v>
      </c>
      <c r="K218" s="63">
        <v>3045</v>
      </c>
      <c r="L218" s="41"/>
      <c r="M218" s="45"/>
    </row>
    <row r="219" spans="1:13" ht="94.5" x14ac:dyDescent="0.25">
      <c r="A219" s="151" t="s">
        <v>486</v>
      </c>
      <c r="B219" s="154" t="s">
        <v>487</v>
      </c>
      <c r="C219" s="33"/>
      <c r="D219" s="34">
        <f>SUM(D220:D221)</f>
        <v>113</v>
      </c>
      <c r="E219" s="34">
        <f>SUM(E220:E221)</f>
        <v>112.89999999999999</v>
      </c>
      <c r="F219" s="34">
        <f>SUM(F220:F221)</f>
        <v>0.1</v>
      </c>
      <c r="G219" s="53">
        <f t="shared" ref="G219:G236" si="10">SUM(E219/D219)</f>
        <v>0.99911504424778752</v>
      </c>
      <c r="H219" s="33" t="s">
        <v>488</v>
      </c>
      <c r="I219" s="36" t="s">
        <v>18</v>
      </c>
      <c r="J219" s="37">
        <v>24</v>
      </c>
      <c r="K219" s="60">
        <v>33</v>
      </c>
      <c r="L219" s="33" t="s">
        <v>489</v>
      </c>
      <c r="M219" s="39"/>
    </row>
    <row r="220" spans="1:13" x14ac:dyDescent="0.25">
      <c r="A220" s="152"/>
      <c r="B220" s="155"/>
      <c r="C220" s="41" t="s">
        <v>37</v>
      </c>
      <c r="D220" s="42">
        <v>15.7</v>
      </c>
      <c r="E220" s="42">
        <v>15.6</v>
      </c>
      <c r="F220" s="42">
        <v>0.1</v>
      </c>
      <c r="G220" s="57">
        <f t="shared" si="10"/>
        <v>0.99363057324840764</v>
      </c>
      <c r="H220" s="58"/>
      <c r="I220" s="43"/>
      <c r="J220" s="44"/>
      <c r="K220" s="44"/>
      <c r="L220" s="41"/>
      <c r="M220" s="45"/>
    </row>
    <row r="221" spans="1:13" ht="16.5" thickBot="1" x14ac:dyDescent="0.3">
      <c r="A221" s="153"/>
      <c r="B221" s="156"/>
      <c r="C221" s="41" t="s">
        <v>23</v>
      </c>
      <c r="D221" s="42">
        <v>97.3</v>
      </c>
      <c r="E221" s="42">
        <v>97.3</v>
      </c>
      <c r="F221" s="42"/>
      <c r="G221" s="61">
        <f t="shared" si="10"/>
        <v>1</v>
      </c>
      <c r="H221" s="41"/>
      <c r="I221" s="43"/>
      <c r="J221" s="44"/>
      <c r="K221" s="44"/>
      <c r="L221" s="41"/>
      <c r="M221" s="45"/>
    </row>
    <row r="222" spans="1:13" ht="63" x14ac:dyDescent="0.25">
      <c r="A222" s="151" t="s">
        <v>490</v>
      </c>
      <c r="B222" s="154" t="s">
        <v>491</v>
      </c>
      <c r="C222" s="33"/>
      <c r="D222" s="34">
        <f>SUM(D223:D224)</f>
        <v>202.6</v>
      </c>
      <c r="E222" s="34">
        <f>SUM(E223:E224)-0.1</f>
        <v>202.20000000000002</v>
      </c>
      <c r="F222" s="34">
        <f>SUM(F223:F224)+0.1</f>
        <v>0.4</v>
      </c>
      <c r="G222" s="53">
        <f t="shared" si="10"/>
        <v>0.99802566633761114</v>
      </c>
      <c r="H222" s="33" t="s">
        <v>492</v>
      </c>
      <c r="I222" s="36" t="s">
        <v>18</v>
      </c>
      <c r="J222" s="37">
        <v>22</v>
      </c>
      <c r="K222" s="38">
        <v>22</v>
      </c>
      <c r="L222" s="33" t="s">
        <v>493</v>
      </c>
      <c r="M222" s="39"/>
    </row>
    <row r="223" spans="1:13" ht="47.25" x14ac:dyDescent="0.25">
      <c r="A223" s="152"/>
      <c r="B223" s="155"/>
      <c r="C223" s="41" t="s">
        <v>23</v>
      </c>
      <c r="D223" s="42">
        <v>152.6</v>
      </c>
      <c r="E223" s="42">
        <v>152.30000000000001</v>
      </c>
      <c r="F223" s="42">
        <v>0.3</v>
      </c>
      <c r="G223" s="57">
        <f t="shared" si="10"/>
        <v>0.99803407601572747</v>
      </c>
      <c r="H223" s="58" t="s">
        <v>494</v>
      </c>
      <c r="I223" s="43" t="s">
        <v>18</v>
      </c>
      <c r="J223" s="44">
        <v>20</v>
      </c>
      <c r="K223" s="72">
        <v>16</v>
      </c>
      <c r="L223" s="41" t="s">
        <v>495</v>
      </c>
      <c r="M223" s="45"/>
    </row>
    <row r="224" spans="1:13" ht="16.5" thickBot="1" x14ac:dyDescent="0.3">
      <c r="A224" s="153"/>
      <c r="B224" s="156"/>
      <c r="C224" s="41" t="s">
        <v>37</v>
      </c>
      <c r="D224" s="42">
        <v>50</v>
      </c>
      <c r="E224" s="42">
        <v>50</v>
      </c>
      <c r="F224" s="42"/>
      <c r="G224" s="61">
        <f t="shared" si="10"/>
        <v>1</v>
      </c>
      <c r="H224" s="41"/>
      <c r="I224" s="43"/>
      <c r="J224" s="44"/>
      <c r="K224" s="44"/>
      <c r="L224" s="41"/>
      <c r="M224" s="45"/>
    </row>
    <row r="225" spans="1:13" ht="78.75" x14ac:dyDescent="0.25">
      <c r="A225" s="151" t="s">
        <v>496</v>
      </c>
      <c r="B225" s="154" t="s">
        <v>497</v>
      </c>
      <c r="C225" s="33"/>
      <c r="D225" s="34">
        <f>SUM(D226:D227)</f>
        <v>734.59999999999991</v>
      </c>
      <c r="E225" s="34">
        <f>SUM(E226:E227)</f>
        <v>734.59999999999991</v>
      </c>
      <c r="F225" s="34"/>
      <c r="G225" s="53">
        <f t="shared" si="10"/>
        <v>1</v>
      </c>
      <c r="H225" s="33" t="s">
        <v>498</v>
      </c>
      <c r="I225" s="36" t="s">
        <v>318</v>
      </c>
      <c r="J225" s="37">
        <v>20000</v>
      </c>
      <c r="K225" s="60">
        <v>23750</v>
      </c>
      <c r="L225" s="33" t="s">
        <v>499</v>
      </c>
      <c r="M225" s="39"/>
    </row>
    <row r="226" spans="1:13" x14ac:dyDescent="0.25">
      <c r="A226" s="152"/>
      <c r="B226" s="155"/>
      <c r="C226" s="41" t="s">
        <v>37</v>
      </c>
      <c r="D226" s="42">
        <v>99.3</v>
      </c>
      <c r="E226" s="42">
        <v>99.3</v>
      </c>
      <c r="F226" s="42"/>
      <c r="G226" s="57">
        <f t="shared" si="10"/>
        <v>1</v>
      </c>
      <c r="H226" s="58"/>
      <c r="I226" s="43"/>
      <c r="J226" s="44"/>
      <c r="K226" s="44"/>
      <c r="L226" s="41"/>
      <c r="M226" s="45"/>
    </row>
    <row r="227" spans="1:13" ht="16.5" thickBot="1" x14ac:dyDescent="0.3">
      <c r="A227" s="153"/>
      <c r="B227" s="156"/>
      <c r="C227" s="41" t="s">
        <v>23</v>
      </c>
      <c r="D227" s="42">
        <v>635.29999999999995</v>
      </c>
      <c r="E227" s="42">
        <v>635.29999999999995</v>
      </c>
      <c r="F227" s="42"/>
      <c r="G227" s="61">
        <f t="shared" si="10"/>
        <v>1</v>
      </c>
      <c r="H227" s="41"/>
      <c r="I227" s="43"/>
      <c r="J227" s="44"/>
      <c r="K227" s="44"/>
      <c r="L227" s="41"/>
      <c r="M227" s="45"/>
    </row>
    <row r="228" spans="1:13" ht="79.5" thickBot="1" x14ac:dyDescent="0.3">
      <c r="A228" s="64" t="s">
        <v>500</v>
      </c>
      <c r="B228" s="65" t="s">
        <v>501</v>
      </c>
      <c r="C228" s="33" t="s">
        <v>502</v>
      </c>
      <c r="D228" s="66">
        <v>160.80000000000001</v>
      </c>
      <c r="E228" s="66">
        <v>160.80000000000001</v>
      </c>
      <c r="F228" s="66"/>
      <c r="G228" s="35">
        <f t="shared" si="10"/>
        <v>1</v>
      </c>
      <c r="H228" s="33" t="s">
        <v>503</v>
      </c>
      <c r="I228" s="36" t="s">
        <v>18</v>
      </c>
      <c r="J228" s="37">
        <v>149</v>
      </c>
      <c r="K228" s="38">
        <v>149</v>
      </c>
      <c r="L228" s="33"/>
      <c r="M228" s="39"/>
    </row>
    <row r="229" spans="1:13" ht="48" thickBot="1" x14ac:dyDescent="0.3">
      <c r="A229" s="64" t="s">
        <v>504</v>
      </c>
      <c r="B229" s="65" t="s">
        <v>505</v>
      </c>
      <c r="C229" s="33" t="s">
        <v>502</v>
      </c>
      <c r="D229" s="66">
        <v>90</v>
      </c>
      <c r="E229" s="66">
        <v>90</v>
      </c>
      <c r="F229" s="66"/>
      <c r="G229" s="35">
        <f t="shared" si="10"/>
        <v>1</v>
      </c>
      <c r="H229" s="33" t="s">
        <v>506</v>
      </c>
      <c r="I229" s="36" t="s">
        <v>318</v>
      </c>
      <c r="J229" s="37">
        <v>19000</v>
      </c>
      <c r="K229" s="60">
        <v>26151</v>
      </c>
      <c r="L229" s="33" t="s">
        <v>507</v>
      </c>
      <c r="M229" s="39"/>
    </row>
    <row r="230" spans="1:13" ht="47.25" x14ac:dyDescent="0.25">
      <c r="A230" s="151" t="s">
        <v>508</v>
      </c>
      <c r="B230" s="154" t="s">
        <v>509</v>
      </c>
      <c r="C230" s="33"/>
      <c r="D230" s="34">
        <f>SUM(D231:D232)</f>
        <v>47.5</v>
      </c>
      <c r="E230" s="34">
        <f>SUM(E231:E232)</f>
        <v>27.5</v>
      </c>
      <c r="F230" s="34">
        <f>SUM(F231:F232)</f>
        <v>20</v>
      </c>
      <c r="G230" s="53">
        <f t="shared" si="10"/>
        <v>0.57894736842105265</v>
      </c>
      <c r="H230" s="33" t="s">
        <v>510</v>
      </c>
      <c r="I230" s="36" t="s">
        <v>18</v>
      </c>
      <c r="J230" s="37">
        <v>650</v>
      </c>
      <c r="K230" s="62">
        <v>590</v>
      </c>
      <c r="L230" s="33" t="s">
        <v>511</v>
      </c>
      <c r="M230" s="39"/>
    </row>
    <row r="231" spans="1:13" ht="47.25" x14ac:dyDescent="0.25">
      <c r="A231" s="152"/>
      <c r="B231" s="155"/>
      <c r="C231" s="41" t="s">
        <v>23</v>
      </c>
      <c r="D231" s="42">
        <v>20</v>
      </c>
      <c r="E231" s="42"/>
      <c r="F231" s="42">
        <v>20</v>
      </c>
      <c r="G231" s="57">
        <f t="shared" si="10"/>
        <v>0</v>
      </c>
      <c r="H231" s="58" t="s">
        <v>512</v>
      </c>
      <c r="I231" s="43" t="s">
        <v>18</v>
      </c>
      <c r="J231" s="44">
        <v>10</v>
      </c>
      <c r="K231" s="72">
        <v>5</v>
      </c>
      <c r="L231" s="41" t="s">
        <v>513</v>
      </c>
      <c r="M231" s="45"/>
    </row>
    <row r="232" spans="1:13" ht="16.5" thickBot="1" x14ac:dyDescent="0.3">
      <c r="A232" s="153"/>
      <c r="B232" s="156"/>
      <c r="C232" s="41" t="s">
        <v>502</v>
      </c>
      <c r="D232" s="42">
        <v>27.5</v>
      </c>
      <c r="E232" s="42">
        <v>27.5</v>
      </c>
      <c r="F232" s="42"/>
      <c r="G232" s="61">
        <f t="shared" si="10"/>
        <v>1</v>
      </c>
      <c r="H232" s="41"/>
      <c r="I232" s="43"/>
      <c r="J232" s="44"/>
      <c r="K232" s="44"/>
      <c r="L232" s="41"/>
      <c r="M232" s="45"/>
    </row>
    <row r="233" spans="1:13" ht="189.75" thickBot="1" x14ac:dyDescent="0.3">
      <c r="A233" s="64" t="s">
        <v>514</v>
      </c>
      <c r="B233" s="65" t="s">
        <v>515</v>
      </c>
      <c r="C233" s="33" t="s">
        <v>502</v>
      </c>
      <c r="D233" s="66">
        <v>43.2</v>
      </c>
      <c r="E233" s="66">
        <v>43.2</v>
      </c>
      <c r="F233" s="66"/>
      <c r="G233" s="35">
        <f t="shared" si="10"/>
        <v>1</v>
      </c>
      <c r="H233" s="33" t="s">
        <v>516</v>
      </c>
      <c r="I233" s="36" t="s">
        <v>18</v>
      </c>
      <c r="J233" s="37">
        <v>20</v>
      </c>
      <c r="K233" s="38">
        <v>20</v>
      </c>
      <c r="L233" s="33" t="s">
        <v>517</v>
      </c>
      <c r="M233" s="39"/>
    </row>
    <row r="234" spans="1:13" ht="79.5" thickBot="1" x14ac:dyDescent="0.3">
      <c r="A234" s="64" t="s">
        <v>518</v>
      </c>
      <c r="B234" s="65" t="s">
        <v>519</v>
      </c>
      <c r="C234" s="33" t="s">
        <v>23</v>
      </c>
      <c r="D234" s="66">
        <v>500</v>
      </c>
      <c r="E234" s="66">
        <v>500</v>
      </c>
      <c r="F234" s="66"/>
      <c r="G234" s="35">
        <f t="shared" si="10"/>
        <v>1</v>
      </c>
      <c r="H234" s="33" t="s">
        <v>520</v>
      </c>
      <c r="I234" s="36" t="s">
        <v>18</v>
      </c>
      <c r="J234" s="37">
        <v>100</v>
      </c>
      <c r="K234" s="60">
        <v>173</v>
      </c>
      <c r="L234" s="33" t="s">
        <v>521</v>
      </c>
      <c r="M234" s="39" t="s">
        <v>1773</v>
      </c>
    </row>
    <row r="235" spans="1:13" ht="48" thickBot="1" x14ac:dyDescent="0.3">
      <c r="A235" s="25" t="s">
        <v>522</v>
      </c>
      <c r="B235" s="26" t="s">
        <v>523</v>
      </c>
      <c r="C235" s="27"/>
      <c r="D235" s="28">
        <f>D236+D239+D243</f>
        <v>1135.5999999999999</v>
      </c>
      <c r="E235" s="28">
        <f>E236+E239+E243</f>
        <v>679.7</v>
      </c>
      <c r="F235" s="28">
        <f>F236+F239+F243</f>
        <v>455.9</v>
      </c>
      <c r="G235" s="29">
        <f t="shared" si="10"/>
        <v>0.59853821768228255</v>
      </c>
      <c r="H235" s="129"/>
      <c r="I235" s="130"/>
      <c r="J235" s="130"/>
      <c r="K235" s="130"/>
      <c r="L235" s="130"/>
      <c r="M235" s="131"/>
    </row>
    <row r="236" spans="1:13" ht="60" customHeight="1" x14ac:dyDescent="0.25">
      <c r="A236" s="151" t="s">
        <v>524</v>
      </c>
      <c r="B236" s="154" t="s">
        <v>525</v>
      </c>
      <c r="C236" s="33" t="s">
        <v>23</v>
      </c>
      <c r="D236" s="34">
        <f>SUM(D237:D238)+280</f>
        <v>280</v>
      </c>
      <c r="E236" s="34">
        <f>SUM(E237:E238)+279.9</f>
        <v>279.89999999999998</v>
      </c>
      <c r="F236" s="34">
        <f>SUM(F237:F238)+0.1</f>
        <v>0.1</v>
      </c>
      <c r="G236" s="35">
        <f t="shared" si="10"/>
        <v>0.99964285714285706</v>
      </c>
      <c r="H236" s="33" t="s">
        <v>526</v>
      </c>
      <c r="I236" s="36" t="s">
        <v>18</v>
      </c>
      <c r="J236" s="37">
        <v>1</v>
      </c>
      <c r="K236" s="54">
        <v>0</v>
      </c>
      <c r="L236" s="33"/>
      <c r="M236" s="39"/>
    </row>
    <row r="237" spans="1:13" ht="31.5" x14ac:dyDescent="0.25">
      <c r="A237" s="152"/>
      <c r="B237" s="155"/>
      <c r="C237" s="41"/>
      <c r="D237" s="42"/>
      <c r="E237" s="42"/>
      <c r="F237" s="42"/>
      <c r="G237" s="42"/>
      <c r="H237" s="41" t="s">
        <v>527</v>
      </c>
      <c r="I237" s="43" t="s">
        <v>528</v>
      </c>
      <c r="J237" s="44">
        <v>0.5</v>
      </c>
      <c r="K237" s="49">
        <v>0</v>
      </c>
      <c r="L237" s="41"/>
      <c r="M237" s="45"/>
    </row>
    <row r="238" spans="1:13" ht="79.5" thickBot="1" x14ac:dyDescent="0.3">
      <c r="A238" s="153"/>
      <c r="B238" s="156"/>
      <c r="C238" s="41"/>
      <c r="D238" s="42"/>
      <c r="E238" s="42"/>
      <c r="F238" s="42"/>
      <c r="G238" s="42"/>
      <c r="H238" s="41" t="s">
        <v>529</v>
      </c>
      <c r="I238" s="43" t="s">
        <v>27</v>
      </c>
      <c r="J238" s="44">
        <v>100</v>
      </c>
      <c r="K238" s="47">
        <v>100</v>
      </c>
      <c r="L238" s="41" t="s">
        <v>530</v>
      </c>
      <c r="M238" s="45"/>
    </row>
    <row r="239" spans="1:13" ht="81.75" customHeight="1" x14ac:dyDescent="0.25">
      <c r="A239" s="151" t="s">
        <v>531</v>
      </c>
      <c r="B239" s="154" t="s">
        <v>532</v>
      </c>
      <c r="C239" s="33"/>
      <c r="D239" s="34">
        <f>SUM(D240:D242)</f>
        <v>174.6</v>
      </c>
      <c r="E239" s="34">
        <f>SUM(E240:E242)</f>
        <v>6.2</v>
      </c>
      <c r="F239" s="34">
        <f>SUM(F240:F242)</f>
        <v>168.4</v>
      </c>
      <c r="G239" s="53">
        <f t="shared" ref="G239:G278" si="11">SUM(E239/D239)</f>
        <v>3.5509736540664374E-2</v>
      </c>
      <c r="H239" s="33" t="s">
        <v>533</v>
      </c>
      <c r="I239" s="36" t="s">
        <v>27</v>
      </c>
      <c r="J239" s="37">
        <v>40</v>
      </c>
      <c r="K239" s="54">
        <v>0</v>
      </c>
      <c r="L239" s="83" t="s">
        <v>1707</v>
      </c>
      <c r="M239" s="80" t="s">
        <v>1710</v>
      </c>
    </row>
    <row r="240" spans="1:13" ht="78.75" x14ac:dyDescent="0.25">
      <c r="A240" s="152"/>
      <c r="B240" s="155"/>
      <c r="C240" s="41" t="s">
        <v>37</v>
      </c>
      <c r="D240" s="42">
        <v>92.1</v>
      </c>
      <c r="E240" s="42"/>
      <c r="F240" s="42">
        <v>92.1</v>
      </c>
      <c r="G240" s="57">
        <f t="shared" si="11"/>
        <v>0</v>
      </c>
      <c r="H240" s="58" t="s">
        <v>534</v>
      </c>
      <c r="I240" s="43" t="s">
        <v>27</v>
      </c>
      <c r="J240" s="44">
        <v>100</v>
      </c>
      <c r="K240" s="47">
        <v>100</v>
      </c>
      <c r="L240" s="41"/>
      <c r="M240" s="45"/>
    </row>
    <row r="241" spans="1:14" x14ac:dyDescent="0.25">
      <c r="A241" s="152"/>
      <c r="B241" s="155"/>
      <c r="C241" s="41" t="s">
        <v>23</v>
      </c>
      <c r="D241" s="42">
        <v>72.5</v>
      </c>
      <c r="E241" s="42"/>
      <c r="F241" s="42">
        <v>72.5</v>
      </c>
      <c r="G241" s="57">
        <f t="shared" si="11"/>
        <v>0</v>
      </c>
      <c r="H241" s="58"/>
      <c r="I241" s="43"/>
      <c r="J241" s="44"/>
      <c r="K241" s="44"/>
      <c r="L241" s="41"/>
      <c r="M241" s="45"/>
    </row>
    <row r="242" spans="1:14" ht="16.5" thickBot="1" x14ac:dyDescent="0.3">
      <c r="A242" s="153"/>
      <c r="B242" s="156"/>
      <c r="C242" s="41" t="s">
        <v>183</v>
      </c>
      <c r="D242" s="42">
        <v>10</v>
      </c>
      <c r="E242" s="42">
        <v>6.2</v>
      </c>
      <c r="F242" s="42">
        <v>3.8</v>
      </c>
      <c r="G242" s="61">
        <f t="shared" si="11"/>
        <v>0.62</v>
      </c>
      <c r="H242" s="41"/>
      <c r="I242" s="43"/>
      <c r="J242" s="44"/>
      <c r="K242" s="44"/>
      <c r="L242" s="41"/>
      <c r="M242" s="45"/>
    </row>
    <row r="243" spans="1:14" ht="126" x14ac:dyDescent="0.25">
      <c r="A243" s="151" t="s">
        <v>535</v>
      </c>
      <c r="B243" s="154" t="s">
        <v>536</v>
      </c>
      <c r="C243" s="33"/>
      <c r="D243" s="34">
        <f>SUM(D244:D245)</f>
        <v>681</v>
      </c>
      <c r="E243" s="34">
        <f>SUM(E244:E245)</f>
        <v>393.6</v>
      </c>
      <c r="F243" s="34">
        <f>SUM(F244:F245)</f>
        <v>287.39999999999998</v>
      </c>
      <c r="G243" s="53">
        <f t="shared" si="11"/>
        <v>0.57797356828193835</v>
      </c>
      <c r="H243" s="33" t="s">
        <v>537</v>
      </c>
      <c r="I243" s="36" t="s">
        <v>27</v>
      </c>
      <c r="J243" s="37">
        <v>100</v>
      </c>
      <c r="K243" s="62">
        <v>80</v>
      </c>
      <c r="L243" s="83" t="s">
        <v>1708</v>
      </c>
      <c r="M243" s="80" t="s">
        <v>1709</v>
      </c>
      <c r="N243" s="85"/>
    </row>
    <row r="244" spans="1:14" x14ac:dyDescent="0.25">
      <c r="A244" s="152"/>
      <c r="B244" s="155"/>
      <c r="C244" s="41" t="s">
        <v>23</v>
      </c>
      <c r="D244" s="42">
        <v>481</v>
      </c>
      <c r="E244" s="42">
        <v>193.6</v>
      </c>
      <c r="F244" s="42">
        <v>287.39999999999998</v>
      </c>
      <c r="G244" s="57">
        <f t="shared" si="11"/>
        <v>0.40249480249480246</v>
      </c>
      <c r="H244" s="58"/>
      <c r="I244" s="43"/>
      <c r="J244" s="44"/>
      <c r="K244" s="44"/>
      <c r="L244" s="41"/>
      <c r="M244" s="45"/>
    </row>
    <row r="245" spans="1:14" ht="16.5" thickBot="1" x14ac:dyDescent="0.3">
      <c r="A245" s="153"/>
      <c r="B245" s="156"/>
      <c r="C245" s="41" t="s">
        <v>217</v>
      </c>
      <c r="D245" s="42">
        <v>200</v>
      </c>
      <c r="E245" s="42">
        <v>200</v>
      </c>
      <c r="F245" s="42"/>
      <c r="G245" s="61">
        <f t="shared" si="11"/>
        <v>1</v>
      </c>
      <c r="H245" s="41"/>
      <c r="I245" s="43"/>
      <c r="J245" s="44"/>
      <c r="K245" s="44"/>
      <c r="L245" s="41"/>
      <c r="M245" s="45"/>
    </row>
    <row r="246" spans="1:14" ht="27.75" customHeight="1" thickBot="1" x14ac:dyDescent="0.3">
      <c r="A246" s="25" t="s">
        <v>538</v>
      </c>
      <c r="B246" s="26" t="s">
        <v>539</v>
      </c>
      <c r="C246" s="27"/>
      <c r="D246" s="28">
        <f>D247+D252+D256+D261+D265+D272+D276</f>
        <v>5275</v>
      </c>
      <c r="E246" s="28">
        <f>E247+E252+E256+E261+E265+E272+E276</f>
        <v>3422.2999999999997</v>
      </c>
      <c r="F246" s="28">
        <f>F247+F252+F256+F261+F265+F272+F276</f>
        <v>1852.7000000000003</v>
      </c>
      <c r="G246" s="29">
        <f t="shared" si="11"/>
        <v>0.64877725118483409</v>
      </c>
      <c r="H246" s="129"/>
      <c r="I246" s="130"/>
      <c r="J246" s="130"/>
      <c r="K246" s="130"/>
      <c r="L246" s="130"/>
      <c r="M246" s="131"/>
    </row>
    <row r="247" spans="1:14" ht="78.75" x14ac:dyDescent="0.25">
      <c r="A247" s="151" t="s">
        <v>540</v>
      </c>
      <c r="B247" s="154" t="s">
        <v>541</v>
      </c>
      <c r="C247" s="33"/>
      <c r="D247" s="34">
        <f>SUM(D248:D251)</f>
        <v>1839.2</v>
      </c>
      <c r="E247" s="34">
        <f>SUM(E248:E251)</f>
        <v>1517.1999999999998</v>
      </c>
      <c r="F247" s="34">
        <f>SUM(F248:F251)+0.1</f>
        <v>322.10000000000002</v>
      </c>
      <c r="G247" s="53">
        <f t="shared" si="11"/>
        <v>0.82492387994780325</v>
      </c>
      <c r="H247" s="33" t="s">
        <v>542</v>
      </c>
      <c r="I247" s="36" t="s">
        <v>27</v>
      </c>
      <c r="J247" s="37">
        <v>100</v>
      </c>
      <c r="K247" s="38">
        <v>100</v>
      </c>
      <c r="L247" s="33" t="s">
        <v>543</v>
      </c>
      <c r="M247" s="39" t="s">
        <v>1774</v>
      </c>
    </row>
    <row r="248" spans="1:14" ht="63" x14ac:dyDescent="0.25">
      <c r="A248" s="152"/>
      <c r="B248" s="155"/>
      <c r="C248" s="41" t="s">
        <v>37</v>
      </c>
      <c r="D248" s="42">
        <v>768.3</v>
      </c>
      <c r="E248" s="42">
        <v>758.3</v>
      </c>
      <c r="F248" s="42">
        <v>10</v>
      </c>
      <c r="G248" s="57">
        <f t="shared" si="11"/>
        <v>0.98698425094364184</v>
      </c>
      <c r="H248" s="58" t="s">
        <v>343</v>
      </c>
      <c r="I248" s="43" t="s">
        <v>18</v>
      </c>
      <c r="J248" s="44">
        <v>1</v>
      </c>
      <c r="K248" s="49">
        <v>0</v>
      </c>
      <c r="L248" s="41"/>
      <c r="M248" s="45"/>
    </row>
    <row r="249" spans="1:14" x14ac:dyDescent="0.25">
      <c r="A249" s="152"/>
      <c r="B249" s="155"/>
      <c r="C249" s="41" t="s">
        <v>208</v>
      </c>
      <c r="D249" s="42">
        <v>432.7</v>
      </c>
      <c r="E249" s="42">
        <v>146</v>
      </c>
      <c r="F249" s="42">
        <v>286.7</v>
      </c>
      <c r="G249" s="57">
        <f t="shared" si="11"/>
        <v>0.33741622371157848</v>
      </c>
      <c r="H249" s="58"/>
      <c r="I249" s="43"/>
      <c r="J249" s="44"/>
      <c r="K249" s="44"/>
      <c r="L249" s="41"/>
      <c r="M249" s="45"/>
    </row>
    <row r="250" spans="1:14" x14ac:dyDescent="0.25">
      <c r="A250" s="152"/>
      <c r="B250" s="155"/>
      <c r="C250" s="41" t="s">
        <v>78</v>
      </c>
      <c r="D250" s="42">
        <v>38.200000000000003</v>
      </c>
      <c r="E250" s="42">
        <v>12.9</v>
      </c>
      <c r="F250" s="42">
        <v>25.3</v>
      </c>
      <c r="G250" s="57">
        <f t="shared" si="11"/>
        <v>0.33769633507853403</v>
      </c>
      <c r="H250" s="58"/>
      <c r="I250" s="43"/>
      <c r="J250" s="44"/>
      <c r="K250" s="44"/>
      <c r="L250" s="41"/>
      <c r="M250" s="45"/>
    </row>
    <row r="251" spans="1:14" ht="16.5" thickBot="1" x14ac:dyDescent="0.3">
      <c r="A251" s="153"/>
      <c r="B251" s="156"/>
      <c r="C251" s="41" t="s">
        <v>217</v>
      </c>
      <c r="D251" s="42">
        <v>600</v>
      </c>
      <c r="E251" s="42">
        <v>600</v>
      </c>
      <c r="F251" s="42"/>
      <c r="G251" s="61">
        <f t="shared" si="11"/>
        <v>1</v>
      </c>
      <c r="H251" s="41"/>
      <c r="I251" s="43"/>
      <c r="J251" s="44"/>
      <c r="K251" s="44"/>
      <c r="L251" s="41"/>
      <c r="M251" s="45"/>
    </row>
    <row r="252" spans="1:14" ht="47.25" x14ac:dyDescent="0.25">
      <c r="A252" s="151" t="s">
        <v>544</v>
      </c>
      <c r="B252" s="154" t="s">
        <v>545</v>
      </c>
      <c r="C252" s="33"/>
      <c r="D252" s="34">
        <f>SUM(D253:D255)</f>
        <v>221.39999999999998</v>
      </c>
      <c r="E252" s="34">
        <f>SUM(E253:E255)</f>
        <v>145.19999999999999</v>
      </c>
      <c r="F252" s="34">
        <f>SUM(F253:F255)</f>
        <v>76.099999999999994</v>
      </c>
      <c r="G252" s="53">
        <f t="shared" si="11"/>
        <v>0.65582655826558267</v>
      </c>
      <c r="H252" s="33" t="s">
        <v>546</v>
      </c>
      <c r="I252" s="36" t="s">
        <v>318</v>
      </c>
      <c r="J252" s="37">
        <v>99432</v>
      </c>
      <c r="K252" s="38">
        <v>99432</v>
      </c>
      <c r="L252" s="33"/>
      <c r="M252" s="39"/>
    </row>
    <row r="253" spans="1:14" ht="78.75" x14ac:dyDescent="0.25">
      <c r="A253" s="152"/>
      <c r="B253" s="155"/>
      <c r="C253" s="41" t="s">
        <v>78</v>
      </c>
      <c r="D253" s="42">
        <v>6</v>
      </c>
      <c r="E253" s="42"/>
      <c r="F253" s="42">
        <v>6</v>
      </c>
      <c r="G253" s="57">
        <f t="shared" si="11"/>
        <v>0</v>
      </c>
      <c r="H253" s="58" t="s">
        <v>542</v>
      </c>
      <c r="I253" s="43" t="s">
        <v>27</v>
      </c>
      <c r="J253" s="44">
        <v>100</v>
      </c>
      <c r="K253" s="47">
        <v>100</v>
      </c>
      <c r="L253" s="41" t="s">
        <v>547</v>
      </c>
      <c r="M253" s="45" t="s">
        <v>1775</v>
      </c>
    </row>
    <row r="254" spans="1:14" x14ac:dyDescent="0.25">
      <c r="A254" s="152"/>
      <c r="B254" s="155"/>
      <c r="C254" s="41" t="s">
        <v>37</v>
      </c>
      <c r="D254" s="42">
        <v>148.6</v>
      </c>
      <c r="E254" s="42">
        <v>145.19999999999999</v>
      </c>
      <c r="F254" s="42">
        <v>3.3</v>
      </c>
      <c r="G254" s="57">
        <f t="shared" si="11"/>
        <v>0.97711978465679672</v>
      </c>
      <c r="H254" s="58"/>
      <c r="I254" s="43"/>
      <c r="J254" s="44"/>
      <c r="K254" s="44"/>
      <c r="L254" s="41"/>
      <c r="M254" s="45"/>
    </row>
    <row r="255" spans="1:14" ht="16.5" thickBot="1" x14ac:dyDescent="0.3">
      <c r="A255" s="153"/>
      <c r="B255" s="156"/>
      <c r="C255" s="41" t="s">
        <v>208</v>
      </c>
      <c r="D255" s="42">
        <v>66.8</v>
      </c>
      <c r="E255" s="42"/>
      <c r="F255" s="42">
        <v>66.8</v>
      </c>
      <c r="G255" s="61">
        <f t="shared" si="11"/>
        <v>0</v>
      </c>
      <c r="H255" s="41"/>
      <c r="I255" s="43"/>
      <c r="J255" s="44"/>
      <c r="K255" s="44"/>
      <c r="L255" s="41"/>
      <c r="M255" s="45"/>
    </row>
    <row r="256" spans="1:14" ht="135" customHeight="1" x14ac:dyDescent="0.25">
      <c r="A256" s="151" t="s">
        <v>548</v>
      </c>
      <c r="B256" s="154" t="s">
        <v>549</v>
      </c>
      <c r="C256" s="33"/>
      <c r="D256" s="34">
        <f>SUM(D257:D260)</f>
        <v>1480</v>
      </c>
      <c r="E256" s="34">
        <f>SUM(E257:E260)-0.1</f>
        <v>341.5</v>
      </c>
      <c r="F256" s="34">
        <f>SUM(F257:F260)</f>
        <v>1138.4000000000001</v>
      </c>
      <c r="G256" s="53">
        <f t="shared" si="11"/>
        <v>0.23074324324324325</v>
      </c>
      <c r="H256" s="33" t="s">
        <v>343</v>
      </c>
      <c r="I256" s="36" t="s">
        <v>18</v>
      </c>
      <c r="J256" s="37">
        <v>1</v>
      </c>
      <c r="K256" s="54">
        <v>0</v>
      </c>
      <c r="L256" s="33" t="s">
        <v>550</v>
      </c>
      <c r="M256" s="39" t="s">
        <v>1776</v>
      </c>
    </row>
    <row r="257" spans="1:13" x14ac:dyDescent="0.25">
      <c r="A257" s="152"/>
      <c r="B257" s="155"/>
      <c r="C257" s="41" t="s">
        <v>37</v>
      </c>
      <c r="D257" s="42">
        <v>305</v>
      </c>
      <c r="E257" s="42">
        <v>304.3</v>
      </c>
      <c r="F257" s="42">
        <v>0.7</v>
      </c>
      <c r="G257" s="57">
        <f t="shared" si="11"/>
        <v>0.99770491803278694</v>
      </c>
      <c r="H257" s="58"/>
      <c r="I257" s="43"/>
      <c r="J257" s="44"/>
      <c r="K257" s="44"/>
      <c r="L257" s="41"/>
      <c r="M257" s="45"/>
    </row>
    <row r="258" spans="1:13" x14ac:dyDescent="0.25">
      <c r="A258" s="152"/>
      <c r="B258" s="155"/>
      <c r="C258" s="41" t="s">
        <v>78</v>
      </c>
      <c r="D258" s="42">
        <v>87.2</v>
      </c>
      <c r="E258" s="42"/>
      <c r="F258" s="42">
        <v>87.2</v>
      </c>
      <c r="G258" s="57">
        <f t="shared" si="11"/>
        <v>0</v>
      </c>
      <c r="H258" s="58"/>
      <c r="I258" s="43"/>
      <c r="J258" s="44"/>
      <c r="K258" s="44"/>
      <c r="L258" s="41"/>
      <c r="M258" s="45"/>
    </row>
    <row r="259" spans="1:13" x14ac:dyDescent="0.25">
      <c r="A259" s="152"/>
      <c r="B259" s="155"/>
      <c r="C259" s="41" t="s">
        <v>208</v>
      </c>
      <c r="D259" s="42">
        <v>987.8</v>
      </c>
      <c r="E259" s="42"/>
      <c r="F259" s="42">
        <v>987.8</v>
      </c>
      <c r="G259" s="57">
        <f t="shared" si="11"/>
        <v>0</v>
      </c>
      <c r="H259" s="58"/>
      <c r="I259" s="43"/>
      <c r="J259" s="44"/>
      <c r="K259" s="44"/>
      <c r="L259" s="41"/>
      <c r="M259" s="45"/>
    </row>
    <row r="260" spans="1:13" ht="16.5" thickBot="1" x14ac:dyDescent="0.3">
      <c r="A260" s="153"/>
      <c r="B260" s="156"/>
      <c r="C260" s="41" t="s">
        <v>23</v>
      </c>
      <c r="D260" s="42">
        <v>100</v>
      </c>
      <c r="E260" s="42">
        <v>37.299999999999997</v>
      </c>
      <c r="F260" s="42">
        <v>62.7</v>
      </c>
      <c r="G260" s="61">
        <f t="shared" si="11"/>
        <v>0.373</v>
      </c>
      <c r="H260" s="41"/>
      <c r="I260" s="43"/>
      <c r="J260" s="44"/>
      <c r="K260" s="44"/>
      <c r="L260" s="41"/>
      <c r="M260" s="45"/>
    </row>
    <row r="261" spans="1:13" ht="63" x14ac:dyDescent="0.25">
      <c r="A261" s="151" t="s">
        <v>551</v>
      </c>
      <c r="B261" s="154" t="s">
        <v>552</v>
      </c>
      <c r="C261" s="33"/>
      <c r="D261" s="34">
        <f>SUM(D262:D264)</f>
        <v>107</v>
      </c>
      <c r="E261" s="34">
        <f>SUM(E262:E264)</f>
        <v>86</v>
      </c>
      <c r="F261" s="34">
        <f>SUM(F262:F264)</f>
        <v>21</v>
      </c>
      <c r="G261" s="53">
        <f t="shared" si="11"/>
        <v>0.80373831775700932</v>
      </c>
      <c r="H261" s="33" t="s">
        <v>343</v>
      </c>
      <c r="I261" s="36" t="s">
        <v>18</v>
      </c>
      <c r="J261" s="37">
        <v>1</v>
      </c>
      <c r="K261" s="54">
        <v>0</v>
      </c>
      <c r="L261" s="33" t="s">
        <v>553</v>
      </c>
      <c r="M261" s="39" t="s">
        <v>1777</v>
      </c>
    </row>
    <row r="262" spans="1:13" x14ac:dyDescent="0.25">
      <c r="A262" s="152"/>
      <c r="B262" s="155"/>
      <c r="C262" s="41" t="s">
        <v>78</v>
      </c>
      <c r="D262" s="42">
        <v>0.6</v>
      </c>
      <c r="E262" s="42"/>
      <c r="F262" s="42">
        <v>0.6</v>
      </c>
      <c r="G262" s="57">
        <f t="shared" si="11"/>
        <v>0</v>
      </c>
      <c r="H262" s="58"/>
      <c r="I262" s="43"/>
      <c r="J262" s="44"/>
      <c r="K262" s="44"/>
      <c r="L262" s="41"/>
      <c r="M262" s="45"/>
    </row>
    <row r="263" spans="1:13" x14ac:dyDescent="0.25">
      <c r="A263" s="152"/>
      <c r="B263" s="155"/>
      <c r="C263" s="41" t="s">
        <v>37</v>
      </c>
      <c r="D263" s="42">
        <v>100.5</v>
      </c>
      <c r="E263" s="42">
        <v>86</v>
      </c>
      <c r="F263" s="42">
        <v>14.5</v>
      </c>
      <c r="G263" s="57">
        <f t="shared" si="11"/>
        <v>0.85572139303482586</v>
      </c>
      <c r="H263" s="58"/>
      <c r="I263" s="43"/>
      <c r="J263" s="44"/>
      <c r="K263" s="44"/>
      <c r="L263" s="41"/>
      <c r="M263" s="45"/>
    </row>
    <row r="264" spans="1:13" ht="16.5" thickBot="1" x14ac:dyDescent="0.3">
      <c r="A264" s="153"/>
      <c r="B264" s="156"/>
      <c r="C264" s="41" t="s">
        <v>208</v>
      </c>
      <c r="D264" s="42">
        <v>5.9</v>
      </c>
      <c r="E264" s="42"/>
      <c r="F264" s="42">
        <v>5.9</v>
      </c>
      <c r="G264" s="61">
        <f t="shared" si="11"/>
        <v>0</v>
      </c>
      <c r="H264" s="41"/>
      <c r="I264" s="43"/>
      <c r="J264" s="44"/>
      <c r="K264" s="44"/>
      <c r="L264" s="41"/>
      <c r="M264" s="45"/>
    </row>
    <row r="265" spans="1:13" ht="60" customHeight="1" x14ac:dyDescent="0.25">
      <c r="A265" s="151" t="s">
        <v>554</v>
      </c>
      <c r="B265" s="154" t="s">
        <v>555</v>
      </c>
      <c r="C265" s="33"/>
      <c r="D265" s="34">
        <f>SUM(D266:D271)</f>
        <v>1335.9</v>
      </c>
      <c r="E265" s="34">
        <f>SUM(E266:E271)+0.1</f>
        <v>1153</v>
      </c>
      <c r="F265" s="34">
        <f>SUM(F266:F271)</f>
        <v>183</v>
      </c>
      <c r="G265" s="53">
        <f t="shared" si="11"/>
        <v>0.86308855453252487</v>
      </c>
      <c r="H265" s="33" t="s">
        <v>546</v>
      </c>
      <c r="I265" s="36" t="s">
        <v>318</v>
      </c>
      <c r="J265" s="37"/>
      <c r="K265" s="37"/>
      <c r="L265" s="33"/>
      <c r="M265" s="39"/>
    </row>
    <row r="266" spans="1:13" ht="63" x14ac:dyDescent="0.25">
      <c r="A266" s="152"/>
      <c r="B266" s="155"/>
      <c r="C266" s="41" t="s">
        <v>37</v>
      </c>
      <c r="D266" s="42">
        <v>482.7</v>
      </c>
      <c r="E266" s="42">
        <v>481.4</v>
      </c>
      <c r="F266" s="42">
        <v>1.3</v>
      </c>
      <c r="G266" s="57">
        <f t="shared" si="11"/>
        <v>0.99730681582763614</v>
      </c>
      <c r="H266" s="58" t="s">
        <v>542</v>
      </c>
      <c r="I266" s="43" t="s">
        <v>27</v>
      </c>
      <c r="J266" s="44">
        <v>96</v>
      </c>
      <c r="K266" s="72">
        <v>95</v>
      </c>
      <c r="L266" s="41" t="s">
        <v>556</v>
      </c>
      <c r="M266" s="45" t="s">
        <v>1778</v>
      </c>
    </row>
    <row r="267" spans="1:13" x14ac:dyDescent="0.25">
      <c r="A267" s="152"/>
      <c r="B267" s="155"/>
      <c r="C267" s="41" t="s">
        <v>23</v>
      </c>
      <c r="D267" s="42">
        <v>125</v>
      </c>
      <c r="E267" s="42">
        <v>23.1</v>
      </c>
      <c r="F267" s="42">
        <v>101.9</v>
      </c>
      <c r="G267" s="57">
        <f t="shared" si="11"/>
        <v>0.18480000000000002</v>
      </c>
      <c r="H267" s="58"/>
      <c r="I267" s="43"/>
      <c r="J267" s="44"/>
      <c r="K267" s="44"/>
      <c r="L267" s="41"/>
      <c r="M267" s="45"/>
    </row>
    <row r="268" spans="1:13" x14ac:dyDescent="0.25">
      <c r="A268" s="152"/>
      <c r="B268" s="155"/>
      <c r="C268" s="41" t="s">
        <v>78</v>
      </c>
      <c r="D268" s="42">
        <v>24.1</v>
      </c>
      <c r="E268" s="42">
        <v>24.1</v>
      </c>
      <c r="F268" s="42"/>
      <c r="G268" s="57">
        <f t="shared" si="11"/>
        <v>1</v>
      </c>
      <c r="H268" s="58"/>
      <c r="I268" s="43"/>
      <c r="J268" s="44"/>
      <c r="K268" s="44"/>
      <c r="L268" s="41"/>
      <c r="M268" s="45"/>
    </row>
    <row r="269" spans="1:13" x14ac:dyDescent="0.25">
      <c r="A269" s="152"/>
      <c r="B269" s="155"/>
      <c r="C269" s="41" t="s">
        <v>208</v>
      </c>
      <c r="D269" s="42">
        <v>273.39999999999998</v>
      </c>
      <c r="E269" s="42">
        <v>193.6</v>
      </c>
      <c r="F269" s="42">
        <v>79.8</v>
      </c>
      <c r="G269" s="57">
        <f t="shared" si="11"/>
        <v>0.70811997073884425</v>
      </c>
      <c r="H269" s="58"/>
      <c r="I269" s="43"/>
      <c r="J269" s="44"/>
      <c r="K269" s="44"/>
      <c r="L269" s="41"/>
      <c r="M269" s="45"/>
    </row>
    <row r="270" spans="1:13" x14ac:dyDescent="0.25">
      <c r="A270" s="152"/>
      <c r="B270" s="155"/>
      <c r="C270" s="41" t="s">
        <v>217</v>
      </c>
      <c r="D270" s="42">
        <v>300</v>
      </c>
      <c r="E270" s="42">
        <v>300</v>
      </c>
      <c r="F270" s="42"/>
      <c r="G270" s="57">
        <f t="shared" si="11"/>
        <v>1</v>
      </c>
      <c r="H270" s="58"/>
      <c r="I270" s="43"/>
      <c r="J270" s="44"/>
      <c r="K270" s="44"/>
      <c r="L270" s="41"/>
      <c r="M270" s="45"/>
    </row>
    <row r="271" spans="1:13" ht="16.5" thickBot="1" x14ac:dyDescent="0.3">
      <c r="A271" s="153"/>
      <c r="B271" s="156"/>
      <c r="C271" s="41" t="s">
        <v>320</v>
      </c>
      <c r="D271" s="42">
        <v>130.69999999999999</v>
      </c>
      <c r="E271" s="42">
        <v>130.69999999999999</v>
      </c>
      <c r="F271" s="42"/>
      <c r="G271" s="61">
        <f t="shared" si="11"/>
        <v>1</v>
      </c>
      <c r="H271" s="41"/>
      <c r="I271" s="43"/>
      <c r="J271" s="44"/>
      <c r="K271" s="44"/>
      <c r="L271" s="41"/>
      <c r="M271" s="45"/>
    </row>
    <row r="272" spans="1:13" ht="126" x14ac:dyDescent="0.25">
      <c r="A272" s="151" t="s">
        <v>557</v>
      </c>
      <c r="B272" s="154" t="s">
        <v>558</v>
      </c>
      <c r="C272" s="33"/>
      <c r="D272" s="34">
        <f>SUM(D273:D275)</f>
        <v>148.20000000000002</v>
      </c>
      <c r="E272" s="34">
        <f>SUM(E273:E275)</f>
        <v>136.80000000000001</v>
      </c>
      <c r="F272" s="34">
        <f>SUM(F273:F275)</f>
        <v>11.4</v>
      </c>
      <c r="G272" s="53">
        <f t="shared" si="11"/>
        <v>0.92307692307692302</v>
      </c>
      <c r="H272" s="33" t="s">
        <v>343</v>
      </c>
      <c r="I272" s="36" t="s">
        <v>18</v>
      </c>
      <c r="J272" s="37">
        <v>1</v>
      </c>
      <c r="K272" s="54">
        <v>0</v>
      </c>
      <c r="L272" s="33" t="s">
        <v>559</v>
      </c>
      <c r="M272" s="39" t="s">
        <v>1779</v>
      </c>
    </row>
    <row r="273" spans="1:13" x14ac:dyDescent="0.25">
      <c r="A273" s="152"/>
      <c r="B273" s="155"/>
      <c r="C273" s="41" t="s">
        <v>78</v>
      </c>
      <c r="D273" s="42">
        <v>1.1000000000000001</v>
      </c>
      <c r="E273" s="42"/>
      <c r="F273" s="42">
        <v>1.1000000000000001</v>
      </c>
      <c r="G273" s="57">
        <f t="shared" si="11"/>
        <v>0</v>
      </c>
      <c r="H273" s="58"/>
      <c r="I273" s="43"/>
      <c r="J273" s="44"/>
      <c r="K273" s="44"/>
      <c r="L273" s="41"/>
      <c r="M273" s="45"/>
    </row>
    <row r="274" spans="1:13" x14ac:dyDescent="0.25">
      <c r="A274" s="152"/>
      <c r="B274" s="155"/>
      <c r="C274" s="41" t="s">
        <v>37</v>
      </c>
      <c r="D274" s="42">
        <v>136.80000000000001</v>
      </c>
      <c r="E274" s="42">
        <v>136.80000000000001</v>
      </c>
      <c r="F274" s="42"/>
      <c r="G274" s="57">
        <f t="shared" si="11"/>
        <v>1</v>
      </c>
      <c r="H274" s="58"/>
      <c r="I274" s="43"/>
      <c r="J274" s="44"/>
      <c r="K274" s="44"/>
      <c r="L274" s="41"/>
      <c r="M274" s="45"/>
    </row>
    <row r="275" spans="1:13" ht="16.5" thickBot="1" x14ac:dyDescent="0.3">
      <c r="A275" s="153"/>
      <c r="B275" s="156"/>
      <c r="C275" s="41" t="s">
        <v>208</v>
      </c>
      <c r="D275" s="42">
        <v>10.3</v>
      </c>
      <c r="E275" s="42">
        <v>0</v>
      </c>
      <c r="F275" s="42">
        <v>10.3</v>
      </c>
      <c r="G275" s="61">
        <f t="shared" si="11"/>
        <v>0</v>
      </c>
      <c r="H275" s="41"/>
      <c r="I275" s="43"/>
      <c r="J275" s="44"/>
      <c r="K275" s="44"/>
      <c r="L275" s="41"/>
      <c r="M275" s="45"/>
    </row>
    <row r="276" spans="1:13" ht="141.75" x14ac:dyDescent="0.25">
      <c r="A276" s="151" t="s">
        <v>560</v>
      </c>
      <c r="B276" s="154" t="s">
        <v>561</v>
      </c>
      <c r="C276" s="33"/>
      <c r="D276" s="34">
        <f>SUM(D277:D280)</f>
        <v>143.30000000000001</v>
      </c>
      <c r="E276" s="34">
        <f>SUM(E277:E280)</f>
        <v>42.6</v>
      </c>
      <c r="F276" s="34">
        <f>SUM(F277:F280)</f>
        <v>100.7</v>
      </c>
      <c r="G276" s="53">
        <f t="shared" si="11"/>
        <v>0.29727843684577809</v>
      </c>
      <c r="H276" s="33" t="s">
        <v>562</v>
      </c>
      <c r="I276" s="36" t="s">
        <v>340</v>
      </c>
      <c r="J276" s="37">
        <v>3</v>
      </c>
      <c r="K276" s="60">
        <v>8</v>
      </c>
      <c r="L276" s="33" t="s">
        <v>563</v>
      </c>
      <c r="M276" s="39" t="s">
        <v>1780</v>
      </c>
    </row>
    <row r="277" spans="1:13" ht="299.25" x14ac:dyDescent="0.25">
      <c r="A277" s="152"/>
      <c r="B277" s="155"/>
      <c r="C277" s="41" t="s">
        <v>23</v>
      </c>
      <c r="D277" s="42">
        <v>126</v>
      </c>
      <c r="E277" s="42">
        <v>25.3</v>
      </c>
      <c r="F277" s="42">
        <v>100.7</v>
      </c>
      <c r="G277" s="57">
        <f t="shared" si="11"/>
        <v>0.2007936507936508</v>
      </c>
      <c r="H277" s="58" t="s">
        <v>564</v>
      </c>
      <c r="I277" s="43" t="s">
        <v>340</v>
      </c>
      <c r="J277" s="44">
        <v>55</v>
      </c>
      <c r="K277" s="63">
        <v>78</v>
      </c>
      <c r="L277" s="41" t="s">
        <v>565</v>
      </c>
      <c r="M277" s="45" t="s">
        <v>1781</v>
      </c>
    </row>
    <row r="278" spans="1:13" ht="220.5" x14ac:dyDescent="0.25">
      <c r="A278" s="152"/>
      <c r="B278" s="155"/>
      <c r="C278" s="41" t="s">
        <v>37</v>
      </c>
      <c r="D278" s="42">
        <v>17.3</v>
      </c>
      <c r="E278" s="42">
        <v>17.3</v>
      </c>
      <c r="F278" s="42"/>
      <c r="G278" s="61">
        <f t="shared" si="11"/>
        <v>1</v>
      </c>
      <c r="H278" s="41" t="s">
        <v>566</v>
      </c>
      <c r="I278" s="43" t="s">
        <v>340</v>
      </c>
      <c r="J278" s="44">
        <v>3</v>
      </c>
      <c r="K278" s="82">
        <v>1</v>
      </c>
      <c r="L278" s="41" t="s">
        <v>567</v>
      </c>
      <c r="M278" s="45" t="s">
        <v>1782</v>
      </c>
    </row>
    <row r="279" spans="1:13" ht="141.75" x14ac:dyDescent="0.25">
      <c r="A279" s="152"/>
      <c r="B279" s="155"/>
      <c r="C279" s="41"/>
      <c r="D279" s="42"/>
      <c r="E279" s="42"/>
      <c r="F279" s="42"/>
      <c r="G279" s="42"/>
      <c r="H279" s="41" t="s">
        <v>568</v>
      </c>
      <c r="I279" s="43" t="s">
        <v>340</v>
      </c>
      <c r="J279" s="44">
        <v>2</v>
      </c>
      <c r="K279" s="49">
        <v>0</v>
      </c>
      <c r="L279" s="41" t="s">
        <v>569</v>
      </c>
      <c r="M279" s="45" t="s">
        <v>1783</v>
      </c>
    </row>
    <row r="280" spans="1:13" ht="205.5" thickBot="1" x14ac:dyDescent="0.3">
      <c r="A280" s="153"/>
      <c r="B280" s="156"/>
      <c r="C280" s="41"/>
      <c r="D280" s="42"/>
      <c r="E280" s="42"/>
      <c r="F280" s="42"/>
      <c r="G280" s="42"/>
      <c r="H280" s="41" t="s">
        <v>570</v>
      </c>
      <c r="I280" s="43" t="s">
        <v>340</v>
      </c>
      <c r="J280" s="44">
        <v>7</v>
      </c>
      <c r="K280" s="47">
        <v>7</v>
      </c>
      <c r="L280" s="41" t="s">
        <v>571</v>
      </c>
      <c r="M280" s="45"/>
    </row>
    <row r="281" spans="1:13" ht="48" thickBot="1" x14ac:dyDescent="0.3">
      <c r="A281" s="15" t="s">
        <v>572</v>
      </c>
      <c r="B281" s="16" t="s">
        <v>573</v>
      </c>
      <c r="C281" s="17"/>
      <c r="D281" s="18">
        <f>D282+D314</f>
        <v>15927.799999999997</v>
      </c>
      <c r="E281" s="18">
        <f>E282+E314-0.1</f>
        <v>14181.2</v>
      </c>
      <c r="F281" s="18">
        <f>F282+F314</f>
        <v>1746.6000000000001</v>
      </c>
      <c r="G281" s="19">
        <f>SUM(E281/D281)</f>
        <v>0.8903426713042607</v>
      </c>
      <c r="H281" s="17" t="s">
        <v>574</v>
      </c>
      <c r="I281" s="20" t="s">
        <v>528</v>
      </c>
      <c r="J281" s="86">
        <v>2.5</v>
      </c>
      <c r="K281" s="86">
        <v>2.5</v>
      </c>
      <c r="L281" s="17"/>
      <c r="M281" s="22"/>
    </row>
    <row r="282" spans="1:13" ht="32.25" thickBot="1" x14ac:dyDescent="0.3">
      <c r="A282" s="25" t="s">
        <v>575</v>
      </c>
      <c r="B282" s="26" t="s">
        <v>576</v>
      </c>
      <c r="C282" s="27"/>
      <c r="D282" s="28">
        <f>D283+D296+D303+D306+D308+D312+D313</f>
        <v>13766.899999999998</v>
      </c>
      <c r="E282" s="28">
        <f>E283+E296+E303+E306+E308+E312+E313+0.1</f>
        <v>12497.800000000001</v>
      </c>
      <c r="F282" s="28">
        <f>F283+F296+F303+F306+F308+F312+F313-0.1</f>
        <v>1269.1000000000001</v>
      </c>
      <c r="G282" s="29">
        <f>SUM(E282/D282)</f>
        <v>0.90781512177759727</v>
      </c>
      <c r="H282" s="129"/>
      <c r="I282" s="130"/>
      <c r="J282" s="130"/>
      <c r="K282" s="130"/>
      <c r="L282" s="130"/>
      <c r="M282" s="131"/>
    </row>
    <row r="283" spans="1:13" ht="204.75" x14ac:dyDescent="0.25">
      <c r="A283" s="151" t="s">
        <v>577</v>
      </c>
      <c r="B283" s="154" t="s">
        <v>578</v>
      </c>
      <c r="C283" s="33"/>
      <c r="D283" s="34">
        <f>D284+D285+D286+D287+D293</f>
        <v>6362.2</v>
      </c>
      <c r="E283" s="34">
        <f>E284+E285+E286+E287+E293+0.1</f>
        <v>5884.7999999999993</v>
      </c>
      <c r="F283" s="34">
        <f>F284+F285+F286+F287+F293-0.1</f>
        <v>477.4</v>
      </c>
      <c r="G283" s="35">
        <f>SUM(E283/D283)</f>
        <v>0.92496306309138343</v>
      </c>
      <c r="H283" s="33" t="s">
        <v>579</v>
      </c>
      <c r="I283" s="36" t="s">
        <v>27</v>
      </c>
      <c r="J283" s="37">
        <v>100</v>
      </c>
      <c r="K283" s="38">
        <v>100</v>
      </c>
      <c r="L283" s="33" t="s">
        <v>580</v>
      </c>
      <c r="M283" s="39"/>
    </row>
    <row r="284" spans="1:13" ht="47.25" x14ac:dyDescent="0.25">
      <c r="A284" s="152"/>
      <c r="B284" s="155"/>
      <c r="C284" s="41"/>
      <c r="D284" s="42"/>
      <c r="E284" s="42"/>
      <c r="F284" s="42"/>
      <c r="G284" s="42"/>
      <c r="H284" s="41" t="s">
        <v>581</v>
      </c>
      <c r="I284" s="43" t="s">
        <v>27</v>
      </c>
      <c r="J284" s="44">
        <v>100</v>
      </c>
      <c r="K284" s="47">
        <v>100</v>
      </c>
      <c r="L284" s="41"/>
      <c r="M284" s="45"/>
    </row>
    <row r="285" spans="1:13" ht="63.75" thickBot="1" x14ac:dyDescent="0.3">
      <c r="A285" s="153"/>
      <c r="B285" s="156"/>
      <c r="C285" s="41"/>
      <c r="D285" s="42"/>
      <c r="E285" s="42"/>
      <c r="F285" s="42"/>
      <c r="G285" s="42"/>
      <c r="H285" s="41" t="s">
        <v>582</v>
      </c>
      <c r="I285" s="43" t="s">
        <v>337</v>
      </c>
      <c r="J285" s="44">
        <v>1465</v>
      </c>
      <c r="K285" s="49">
        <v>0</v>
      </c>
      <c r="L285" s="41"/>
      <c r="M285" s="45"/>
    </row>
    <row r="286" spans="1:13" ht="84.75" customHeight="1" thickBot="1" x14ac:dyDescent="0.3">
      <c r="A286" s="64" t="s">
        <v>583</v>
      </c>
      <c r="B286" s="65" t="s">
        <v>584</v>
      </c>
      <c r="C286" s="33" t="s">
        <v>23</v>
      </c>
      <c r="D286" s="66">
        <v>100</v>
      </c>
      <c r="E286" s="66">
        <v>95.6</v>
      </c>
      <c r="F286" s="66">
        <v>4.4000000000000004</v>
      </c>
      <c r="G286" s="35">
        <f t="shared" ref="G286:G318" si="12">SUM(E286/D286)</f>
        <v>0.95599999999999996</v>
      </c>
      <c r="H286" s="33" t="s">
        <v>585</v>
      </c>
      <c r="I286" s="36" t="s">
        <v>18</v>
      </c>
      <c r="J286" s="37">
        <v>500</v>
      </c>
      <c r="K286" s="60">
        <v>715</v>
      </c>
      <c r="L286" s="83" t="s">
        <v>1706</v>
      </c>
      <c r="M286" s="39"/>
    </row>
    <row r="287" spans="1:13" ht="63" x14ac:dyDescent="0.25">
      <c r="A287" s="151" t="s">
        <v>586</v>
      </c>
      <c r="B287" s="154" t="s">
        <v>587</v>
      </c>
      <c r="C287" s="33"/>
      <c r="D287" s="34">
        <f>SUM(D288:D292)</f>
        <v>5082.2</v>
      </c>
      <c r="E287" s="34">
        <f>SUM(E288:E292)-0.1</f>
        <v>4628.6999999999989</v>
      </c>
      <c r="F287" s="34">
        <f>SUM(F288:F292)+0.1</f>
        <v>453.5</v>
      </c>
      <c r="G287" s="53">
        <f t="shared" si="12"/>
        <v>0.91076699067333022</v>
      </c>
      <c r="H287" s="33" t="s">
        <v>588</v>
      </c>
      <c r="I287" s="36" t="s">
        <v>18</v>
      </c>
      <c r="J287" s="37">
        <v>1</v>
      </c>
      <c r="K287" s="38">
        <v>1</v>
      </c>
      <c r="L287" s="33" t="s">
        <v>589</v>
      </c>
      <c r="M287" s="39"/>
    </row>
    <row r="288" spans="1:13" ht="47.25" x14ac:dyDescent="0.25">
      <c r="A288" s="152"/>
      <c r="B288" s="155"/>
      <c r="C288" s="41" t="s">
        <v>78</v>
      </c>
      <c r="D288" s="42">
        <v>300</v>
      </c>
      <c r="E288" s="42">
        <v>300</v>
      </c>
      <c r="F288" s="42"/>
      <c r="G288" s="57">
        <f t="shared" si="12"/>
        <v>1</v>
      </c>
      <c r="H288" s="58" t="s">
        <v>590</v>
      </c>
      <c r="I288" s="43" t="s">
        <v>18</v>
      </c>
      <c r="J288" s="44">
        <v>1</v>
      </c>
      <c r="K288" s="47">
        <v>1</v>
      </c>
      <c r="L288" s="41" t="s">
        <v>591</v>
      </c>
      <c r="M288" s="45"/>
    </row>
    <row r="289" spans="1:13" ht="63" x14ac:dyDescent="0.25">
      <c r="A289" s="152"/>
      <c r="B289" s="155"/>
      <c r="C289" s="41" t="s">
        <v>217</v>
      </c>
      <c r="D289" s="42">
        <v>631</v>
      </c>
      <c r="E289" s="42">
        <v>631</v>
      </c>
      <c r="F289" s="42"/>
      <c r="G289" s="57">
        <f t="shared" si="12"/>
        <v>1</v>
      </c>
      <c r="H289" s="58" t="s">
        <v>592</v>
      </c>
      <c r="I289" s="43" t="s">
        <v>18</v>
      </c>
      <c r="J289" s="44">
        <v>1</v>
      </c>
      <c r="K289" s="47">
        <v>1</v>
      </c>
      <c r="L289" s="41" t="s">
        <v>593</v>
      </c>
      <c r="M289" s="45"/>
    </row>
    <row r="290" spans="1:13" ht="47.25" x14ac:dyDescent="0.25">
      <c r="A290" s="152"/>
      <c r="B290" s="155"/>
      <c r="C290" s="41" t="s">
        <v>37</v>
      </c>
      <c r="D290" s="42">
        <v>1038.2</v>
      </c>
      <c r="E290" s="42">
        <v>805.6</v>
      </c>
      <c r="F290" s="42">
        <v>232.6</v>
      </c>
      <c r="G290" s="57">
        <f t="shared" si="12"/>
        <v>0.77595838952032359</v>
      </c>
      <c r="H290" s="58" t="s">
        <v>594</v>
      </c>
      <c r="I290" s="43" t="s">
        <v>18</v>
      </c>
      <c r="J290" s="44">
        <v>1</v>
      </c>
      <c r="K290" s="47">
        <v>1</v>
      </c>
      <c r="L290" s="41" t="s">
        <v>595</v>
      </c>
      <c r="M290" s="45"/>
    </row>
    <row r="291" spans="1:13" ht="47.25" x14ac:dyDescent="0.25">
      <c r="A291" s="152"/>
      <c r="B291" s="155"/>
      <c r="C291" s="41" t="s">
        <v>23</v>
      </c>
      <c r="D291" s="42">
        <v>1059.8</v>
      </c>
      <c r="E291" s="42">
        <v>839</v>
      </c>
      <c r="F291" s="42">
        <v>220.8</v>
      </c>
      <c r="G291" s="57">
        <f t="shared" si="12"/>
        <v>0.79165880354783924</v>
      </c>
      <c r="H291" s="58" t="s">
        <v>596</v>
      </c>
      <c r="I291" s="43" t="s">
        <v>18</v>
      </c>
      <c r="J291" s="44">
        <v>1</v>
      </c>
      <c r="K291" s="47">
        <v>1</v>
      </c>
      <c r="L291" s="41" t="s">
        <v>597</v>
      </c>
      <c r="M291" s="45"/>
    </row>
    <row r="292" spans="1:13" ht="79.5" thickBot="1" x14ac:dyDescent="0.3">
      <c r="A292" s="153"/>
      <c r="B292" s="156"/>
      <c r="C292" s="41" t="s">
        <v>502</v>
      </c>
      <c r="D292" s="42">
        <v>2053.1999999999998</v>
      </c>
      <c r="E292" s="42">
        <v>2053.1999999999998</v>
      </c>
      <c r="F292" s="42"/>
      <c r="G292" s="61">
        <f t="shared" si="12"/>
        <v>1</v>
      </c>
      <c r="H292" s="41" t="s">
        <v>598</v>
      </c>
      <c r="I292" s="43" t="s">
        <v>18</v>
      </c>
      <c r="J292" s="44">
        <v>1</v>
      </c>
      <c r="K292" s="47">
        <v>1</v>
      </c>
      <c r="L292" s="41" t="s">
        <v>599</v>
      </c>
      <c r="M292" s="45"/>
    </row>
    <row r="293" spans="1:13" ht="45" customHeight="1" x14ac:dyDescent="0.25">
      <c r="A293" s="151" t="s">
        <v>600</v>
      </c>
      <c r="B293" s="154" t="s">
        <v>601</v>
      </c>
      <c r="C293" s="33"/>
      <c r="D293" s="34">
        <f>SUM(D294:D295)</f>
        <v>1180</v>
      </c>
      <c r="E293" s="34">
        <f>SUM(E294:E295)</f>
        <v>1160.4000000000001</v>
      </c>
      <c r="F293" s="34">
        <f>SUM(F294:F295)</f>
        <v>19.600000000000001</v>
      </c>
      <c r="G293" s="53">
        <f t="shared" si="12"/>
        <v>0.98338983050847462</v>
      </c>
      <c r="H293" s="33" t="s">
        <v>602</v>
      </c>
      <c r="I293" s="36" t="s">
        <v>18</v>
      </c>
      <c r="J293" s="37">
        <v>1</v>
      </c>
      <c r="K293" s="38">
        <v>1</v>
      </c>
      <c r="L293" s="33" t="s">
        <v>603</v>
      </c>
      <c r="M293" s="39"/>
    </row>
    <row r="294" spans="1:13" ht="78.75" x14ac:dyDescent="0.25">
      <c r="A294" s="152"/>
      <c r="B294" s="155"/>
      <c r="C294" s="41" t="s">
        <v>217</v>
      </c>
      <c r="D294" s="42">
        <v>715</v>
      </c>
      <c r="E294" s="42">
        <v>715</v>
      </c>
      <c r="F294" s="42"/>
      <c r="G294" s="57">
        <f t="shared" si="12"/>
        <v>1</v>
      </c>
      <c r="H294" s="58" t="s">
        <v>604</v>
      </c>
      <c r="I294" s="43" t="s">
        <v>18</v>
      </c>
      <c r="J294" s="44">
        <v>1</v>
      </c>
      <c r="K294" s="47">
        <v>1</v>
      </c>
      <c r="L294" s="41" t="s">
        <v>605</v>
      </c>
      <c r="M294" s="45"/>
    </row>
    <row r="295" spans="1:13" ht="79.5" thickBot="1" x14ac:dyDescent="0.3">
      <c r="A295" s="153"/>
      <c r="B295" s="156"/>
      <c r="C295" s="41" t="s">
        <v>23</v>
      </c>
      <c r="D295" s="42">
        <v>465</v>
      </c>
      <c r="E295" s="42">
        <v>445.4</v>
      </c>
      <c r="F295" s="42">
        <v>19.600000000000001</v>
      </c>
      <c r="G295" s="61">
        <f t="shared" si="12"/>
        <v>0.95784946236559132</v>
      </c>
      <c r="H295" s="41" t="s">
        <v>606</v>
      </c>
      <c r="I295" s="43" t="s">
        <v>18</v>
      </c>
      <c r="J295" s="44">
        <v>1</v>
      </c>
      <c r="K295" s="49">
        <v>0</v>
      </c>
      <c r="L295" s="41" t="s">
        <v>607</v>
      </c>
      <c r="M295" s="45"/>
    </row>
    <row r="296" spans="1:13" ht="63" x14ac:dyDescent="0.25">
      <c r="A296" s="151" t="s">
        <v>608</v>
      </c>
      <c r="B296" s="154" t="s">
        <v>609</v>
      </c>
      <c r="C296" s="33"/>
      <c r="D296" s="34">
        <f>SUM(D297:D302)</f>
        <v>5118.3999999999996</v>
      </c>
      <c r="E296" s="34">
        <f>SUM(E297:E302)</f>
        <v>4640.5</v>
      </c>
      <c r="F296" s="34">
        <f>SUM(F297:F302)</f>
        <v>477.9</v>
      </c>
      <c r="G296" s="53">
        <f t="shared" si="12"/>
        <v>0.90663097843075968</v>
      </c>
      <c r="H296" s="33" t="s">
        <v>610</v>
      </c>
      <c r="I296" s="36" t="s">
        <v>27</v>
      </c>
      <c r="J296" s="37">
        <v>74</v>
      </c>
      <c r="K296" s="60">
        <v>100</v>
      </c>
      <c r="L296" s="33" t="s">
        <v>611</v>
      </c>
      <c r="M296" s="39" t="s">
        <v>1784</v>
      </c>
    </row>
    <row r="297" spans="1:13" ht="47.25" x14ac:dyDescent="0.25">
      <c r="A297" s="152"/>
      <c r="B297" s="155"/>
      <c r="C297" s="41" t="s">
        <v>78</v>
      </c>
      <c r="D297" s="42">
        <v>425.7</v>
      </c>
      <c r="E297" s="42">
        <v>300</v>
      </c>
      <c r="F297" s="42">
        <v>125.7</v>
      </c>
      <c r="G297" s="57">
        <f t="shared" si="12"/>
        <v>0.70472163495419315</v>
      </c>
      <c r="H297" s="58" t="s">
        <v>612</v>
      </c>
      <c r="I297" s="43" t="s">
        <v>18</v>
      </c>
      <c r="J297" s="44">
        <v>1</v>
      </c>
      <c r="K297" s="47">
        <v>1</v>
      </c>
      <c r="L297" s="41" t="s">
        <v>613</v>
      </c>
      <c r="M297" s="45"/>
    </row>
    <row r="298" spans="1:13" x14ac:dyDescent="0.25">
      <c r="A298" s="152"/>
      <c r="B298" s="155"/>
      <c r="C298" s="41" t="s">
        <v>208</v>
      </c>
      <c r="D298" s="42">
        <v>2293</v>
      </c>
      <c r="E298" s="42">
        <v>2136.3000000000002</v>
      </c>
      <c r="F298" s="42">
        <v>156.69999999999999</v>
      </c>
      <c r="G298" s="57">
        <f t="shared" si="12"/>
        <v>0.93166157871783695</v>
      </c>
      <c r="H298" s="58"/>
      <c r="I298" s="43"/>
      <c r="J298" s="44"/>
      <c r="K298" s="44"/>
      <c r="L298" s="41"/>
      <c r="M298" s="45"/>
    </row>
    <row r="299" spans="1:13" x14ac:dyDescent="0.25">
      <c r="A299" s="152"/>
      <c r="B299" s="155"/>
      <c r="C299" s="41" t="s">
        <v>502</v>
      </c>
      <c r="D299" s="42">
        <v>1880.4</v>
      </c>
      <c r="E299" s="42">
        <v>1880.4</v>
      </c>
      <c r="F299" s="42"/>
      <c r="G299" s="57">
        <f t="shared" si="12"/>
        <v>1</v>
      </c>
      <c r="H299" s="58"/>
      <c r="I299" s="43"/>
      <c r="J299" s="44"/>
      <c r="K299" s="44"/>
      <c r="L299" s="41"/>
      <c r="M299" s="45"/>
    </row>
    <row r="300" spans="1:13" x14ac:dyDescent="0.25">
      <c r="A300" s="152"/>
      <c r="B300" s="155"/>
      <c r="C300" s="41" t="s">
        <v>217</v>
      </c>
      <c r="D300" s="42">
        <v>50</v>
      </c>
      <c r="E300" s="42">
        <v>50</v>
      </c>
      <c r="F300" s="42"/>
      <c r="G300" s="57">
        <f t="shared" si="12"/>
        <v>1</v>
      </c>
      <c r="H300" s="58"/>
      <c r="I300" s="43"/>
      <c r="J300" s="44"/>
      <c r="K300" s="44"/>
      <c r="L300" s="41"/>
      <c r="M300" s="45"/>
    </row>
    <row r="301" spans="1:13" x14ac:dyDescent="0.25">
      <c r="A301" s="152"/>
      <c r="B301" s="155"/>
      <c r="C301" s="41" t="s">
        <v>23</v>
      </c>
      <c r="D301" s="42">
        <v>468.9</v>
      </c>
      <c r="E301" s="42">
        <v>273.39999999999998</v>
      </c>
      <c r="F301" s="42">
        <v>195.5</v>
      </c>
      <c r="G301" s="57">
        <f t="shared" si="12"/>
        <v>0.58306675197270208</v>
      </c>
      <c r="H301" s="58"/>
      <c r="I301" s="43"/>
      <c r="J301" s="44"/>
      <c r="K301" s="44"/>
      <c r="L301" s="41"/>
      <c r="M301" s="45"/>
    </row>
    <row r="302" spans="1:13" ht="16.5" thickBot="1" x14ac:dyDescent="0.3">
      <c r="A302" s="153"/>
      <c r="B302" s="156"/>
      <c r="C302" s="41" t="s">
        <v>37</v>
      </c>
      <c r="D302" s="42">
        <v>0.4</v>
      </c>
      <c r="E302" s="42">
        <v>0.4</v>
      </c>
      <c r="F302" s="42"/>
      <c r="G302" s="61">
        <f t="shared" si="12"/>
        <v>1</v>
      </c>
      <c r="H302" s="41"/>
      <c r="I302" s="43"/>
      <c r="J302" s="44"/>
      <c r="K302" s="44"/>
      <c r="L302" s="41"/>
      <c r="M302" s="45"/>
    </row>
    <row r="303" spans="1:13" ht="60" customHeight="1" x14ac:dyDescent="0.25">
      <c r="A303" s="151" t="s">
        <v>614</v>
      </c>
      <c r="B303" s="154" t="s">
        <v>615</v>
      </c>
      <c r="C303" s="33"/>
      <c r="D303" s="34">
        <f>SUM(D304:D305)</f>
        <v>15</v>
      </c>
      <c r="E303" s="34">
        <f>SUM(E304:E305)</f>
        <v>15</v>
      </c>
      <c r="F303" s="34"/>
      <c r="G303" s="53">
        <f t="shared" si="12"/>
        <v>1</v>
      </c>
      <c r="H303" s="33" t="s">
        <v>616</v>
      </c>
      <c r="I303" s="36" t="s">
        <v>27</v>
      </c>
      <c r="J303" s="37">
        <v>100</v>
      </c>
      <c r="K303" s="38">
        <v>100</v>
      </c>
      <c r="L303" s="33"/>
      <c r="M303" s="39"/>
    </row>
    <row r="304" spans="1:13" x14ac:dyDescent="0.25">
      <c r="A304" s="152"/>
      <c r="B304" s="155"/>
      <c r="C304" s="41" t="s">
        <v>23</v>
      </c>
      <c r="D304" s="42">
        <v>10</v>
      </c>
      <c r="E304" s="42">
        <v>10</v>
      </c>
      <c r="F304" s="42"/>
      <c r="G304" s="57">
        <f t="shared" si="12"/>
        <v>1</v>
      </c>
      <c r="H304" s="58"/>
      <c r="I304" s="43"/>
      <c r="J304" s="44"/>
      <c r="K304" s="44"/>
      <c r="L304" s="41"/>
      <c r="M304" s="45"/>
    </row>
    <row r="305" spans="1:13" ht="16.5" thickBot="1" x14ac:dyDescent="0.3">
      <c r="A305" s="153"/>
      <c r="B305" s="156"/>
      <c r="C305" s="41" t="s">
        <v>37</v>
      </c>
      <c r="D305" s="42">
        <v>5</v>
      </c>
      <c r="E305" s="42">
        <v>5</v>
      </c>
      <c r="F305" s="42"/>
      <c r="G305" s="61">
        <f t="shared" si="12"/>
        <v>1</v>
      </c>
      <c r="H305" s="41"/>
      <c r="I305" s="43"/>
      <c r="J305" s="44"/>
      <c r="K305" s="44"/>
      <c r="L305" s="41"/>
      <c r="M305" s="45"/>
    </row>
    <row r="306" spans="1:13" ht="63" x14ac:dyDescent="0.25">
      <c r="A306" s="151" t="s">
        <v>617</v>
      </c>
      <c r="B306" s="154" t="s">
        <v>618</v>
      </c>
      <c r="C306" s="33"/>
      <c r="D306" s="34">
        <f>SUM(D307:D307)</f>
        <v>81.400000000000006</v>
      </c>
      <c r="E306" s="34">
        <f>SUM(E307:E307)</f>
        <v>81.400000000000006</v>
      </c>
      <c r="F306" s="34"/>
      <c r="G306" s="35">
        <f t="shared" si="12"/>
        <v>1</v>
      </c>
      <c r="H306" s="33" t="s">
        <v>343</v>
      </c>
      <c r="I306" s="36" t="s">
        <v>18</v>
      </c>
      <c r="J306" s="37">
        <v>1</v>
      </c>
      <c r="K306" s="38">
        <v>1</v>
      </c>
      <c r="L306" s="33" t="s">
        <v>619</v>
      </c>
      <c r="M306" s="39"/>
    </row>
    <row r="307" spans="1:13" ht="16.5" thickBot="1" x14ac:dyDescent="0.3">
      <c r="A307" s="153"/>
      <c r="B307" s="156"/>
      <c r="C307" s="41" t="s">
        <v>208</v>
      </c>
      <c r="D307" s="42">
        <v>81.400000000000006</v>
      </c>
      <c r="E307" s="42">
        <v>81.400000000000006</v>
      </c>
      <c r="F307" s="42"/>
      <c r="G307" s="61">
        <f t="shared" si="12"/>
        <v>1</v>
      </c>
      <c r="H307" s="41"/>
      <c r="I307" s="43"/>
      <c r="J307" s="44"/>
      <c r="K307" s="44"/>
      <c r="L307" s="41"/>
      <c r="M307" s="45"/>
    </row>
    <row r="308" spans="1:13" ht="115.5" customHeight="1" x14ac:dyDescent="0.25">
      <c r="A308" s="151" t="s">
        <v>620</v>
      </c>
      <c r="B308" s="154" t="s">
        <v>621</v>
      </c>
      <c r="C308" s="33"/>
      <c r="D308" s="34">
        <f>SUM(D309:D311)</f>
        <v>1276.5</v>
      </c>
      <c r="E308" s="34">
        <f>SUM(E309:E311)</f>
        <v>1243.3000000000002</v>
      </c>
      <c r="F308" s="34">
        <f>SUM(F309:F311)+0.1</f>
        <v>33.199999999999996</v>
      </c>
      <c r="G308" s="53">
        <f t="shared" si="12"/>
        <v>0.973991382687035</v>
      </c>
      <c r="H308" s="33" t="s">
        <v>622</v>
      </c>
      <c r="I308" s="36" t="s">
        <v>18</v>
      </c>
      <c r="J308" s="37">
        <v>4</v>
      </c>
      <c r="K308" s="38">
        <v>4</v>
      </c>
      <c r="L308" s="33" t="s">
        <v>1704</v>
      </c>
      <c r="M308" s="39" t="s">
        <v>1785</v>
      </c>
    </row>
    <row r="309" spans="1:13" ht="141.75" x14ac:dyDescent="0.25">
      <c r="A309" s="152"/>
      <c r="B309" s="155"/>
      <c r="C309" s="41" t="s">
        <v>37</v>
      </c>
      <c r="D309" s="42">
        <v>292.60000000000002</v>
      </c>
      <c r="E309" s="42">
        <v>259.7</v>
      </c>
      <c r="F309" s="42">
        <v>32.799999999999997</v>
      </c>
      <c r="G309" s="57">
        <f t="shared" si="12"/>
        <v>0.8875598086124401</v>
      </c>
      <c r="H309" s="58" t="s">
        <v>542</v>
      </c>
      <c r="I309" s="43" t="s">
        <v>27</v>
      </c>
      <c r="J309" s="44">
        <v>100</v>
      </c>
      <c r="K309" s="47">
        <v>100</v>
      </c>
      <c r="L309" s="41" t="s">
        <v>623</v>
      </c>
      <c r="M309" s="45" t="s">
        <v>1786</v>
      </c>
    </row>
    <row r="310" spans="1:13" x14ac:dyDescent="0.25">
      <c r="A310" s="152"/>
      <c r="B310" s="155"/>
      <c r="C310" s="41" t="s">
        <v>23</v>
      </c>
      <c r="D310" s="42">
        <v>520</v>
      </c>
      <c r="E310" s="42">
        <v>519.70000000000005</v>
      </c>
      <c r="F310" s="42">
        <v>0.3</v>
      </c>
      <c r="G310" s="57">
        <f t="shared" si="12"/>
        <v>0.99942307692307697</v>
      </c>
      <c r="H310" s="58"/>
      <c r="I310" s="43"/>
      <c r="J310" s="44"/>
      <c r="K310" s="44"/>
      <c r="L310" s="41"/>
      <c r="M310" s="45"/>
    </row>
    <row r="311" spans="1:13" ht="16.5" thickBot="1" x14ac:dyDescent="0.3">
      <c r="A311" s="153"/>
      <c r="B311" s="156"/>
      <c r="C311" s="41" t="s">
        <v>502</v>
      </c>
      <c r="D311" s="42">
        <v>463.9</v>
      </c>
      <c r="E311" s="42">
        <v>463.9</v>
      </c>
      <c r="F311" s="42"/>
      <c r="G311" s="61">
        <f t="shared" si="12"/>
        <v>1</v>
      </c>
      <c r="H311" s="41"/>
      <c r="I311" s="43"/>
      <c r="J311" s="44"/>
      <c r="K311" s="44"/>
      <c r="L311" s="41"/>
      <c r="M311" s="45"/>
    </row>
    <row r="312" spans="1:13" ht="189.75" thickBot="1" x14ac:dyDescent="0.3">
      <c r="A312" s="64" t="s">
        <v>624</v>
      </c>
      <c r="B312" s="65" t="s">
        <v>625</v>
      </c>
      <c r="C312" s="33" t="s">
        <v>208</v>
      </c>
      <c r="D312" s="66">
        <v>269.39999999999998</v>
      </c>
      <c r="E312" s="66"/>
      <c r="F312" s="66">
        <v>269.39999999999998</v>
      </c>
      <c r="G312" s="35">
        <f t="shared" si="12"/>
        <v>0</v>
      </c>
      <c r="H312" s="33" t="s">
        <v>343</v>
      </c>
      <c r="I312" s="36" t="s">
        <v>18</v>
      </c>
      <c r="J312" s="37">
        <v>1</v>
      </c>
      <c r="K312" s="54">
        <v>0</v>
      </c>
      <c r="L312" s="33" t="s">
        <v>626</v>
      </c>
      <c r="M312" s="39" t="s">
        <v>1787</v>
      </c>
    </row>
    <row r="313" spans="1:13" ht="95.25" thickBot="1" x14ac:dyDescent="0.3">
      <c r="A313" s="64" t="s">
        <v>627</v>
      </c>
      <c r="B313" s="65" t="s">
        <v>628</v>
      </c>
      <c r="C313" s="33" t="s">
        <v>23</v>
      </c>
      <c r="D313" s="66">
        <v>644</v>
      </c>
      <c r="E313" s="66">
        <v>632.70000000000005</v>
      </c>
      <c r="F313" s="66">
        <v>11.3</v>
      </c>
      <c r="G313" s="35">
        <f t="shared" si="12"/>
        <v>0.98245341614906845</v>
      </c>
      <c r="H313" s="33" t="s">
        <v>629</v>
      </c>
      <c r="I313" s="36" t="s">
        <v>528</v>
      </c>
      <c r="J313" s="37">
        <v>600000</v>
      </c>
      <c r="K313" s="62">
        <v>571268</v>
      </c>
      <c r="L313" s="33" t="s">
        <v>630</v>
      </c>
      <c r="M313" s="39"/>
    </row>
    <row r="314" spans="1:13" ht="32.25" thickBot="1" x14ac:dyDescent="0.3">
      <c r="A314" s="25" t="s">
        <v>631</v>
      </c>
      <c r="B314" s="26" t="s">
        <v>632</v>
      </c>
      <c r="C314" s="27"/>
      <c r="D314" s="28">
        <f>D315+D321</f>
        <v>2160.9</v>
      </c>
      <c r="E314" s="28">
        <f>E315+E321</f>
        <v>1683.5</v>
      </c>
      <c r="F314" s="28">
        <f>F315+F321+0.1</f>
        <v>477.5</v>
      </c>
      <c r="G314" s="29">
        <f t="shared" si="12"/>
        <v>0.77907353417557501</v>
      </c>
      <c r="H314" s="129"/>
      <c r="I314" s="130"/>
      <c r="J314" s="130"/>
      <c r="K314" s="130"/>
      <c r="L314" s="130"/>
      <c r="M314" s="131"/>
    </row>
    <row r="315" spans="1:13" ht="126" x14ac:dyDescent="0.25">
      <c r="A315" s="151" t="s">
        <v>633</v>
      </c>
      <c r="B315" s="154" t="s">
        <v>634</v>
      </c>
      <c r="C315" s="33"/>
      <c r="D315" s="34">
        <f>SUM(D316:D320)</f>
        <v>1800</v>
      </c>
      <c r="E315" s="34">
        <f>SUM(E316:E320)</f>
        <v>1683.5</v>
      </c>
      <c r="F315" s="34">
        <f>SUM(F316:F320)</f>
        <v>116.5</v>
      </c>
      <c r="G315" s="53">
        <f t="shared" si="12"/>
        <v>0.93527777777777776</v>
      </c>
      <c r="H315" s="33" t="s">
        <v>635</v>
      </c>
      <c r="I315" s="36" t="s">
        <v>18</v>
      </c>
      <c r="J315" s="37">
        <v>5</v>
      </c>
      <c r="K315" s="62">
        <v>4</v>
      </c>
      <c r="L315" s="33" t="s">
        <v>636</v>
      </c>
      <c r="M315" s="39" t="s">
        <v>1788</v>
      </c>
    </row>
    <row r="316" spans="1:13" ht="94.5" x14ac:dyDescent="0.25">
      <c r="A316" s="152"/>
      <c r="B316" s="155"/>
      <c r="C316" s="41" t="s">
        <v>502</v>
      </c>
      <c r="D316" s="42">
        <v>800</v>
      </c>
      <c r="E316" s="42">
        <v>800</v>
      </c>
      <c r="F316" s="42"/>
      <c r="G316" s="57">
        <f t="shared" si="12"/>
        <v>1</v>
      </c>
      <c r="H316" s="58" t="s">
        <v>637</v>
      </c>
      <c r="I316" s="43" t="s">
        <v>18</v>
      </c>
      <c r="J316" s="44">
        <v>1</v>
      </c>
      <c r="K316" s="49">
        <v>0</v>
      </c>
      <c r="L316" s="41" t="s">
        <v>638</v>
      </c>
      <c r="M316" s="45" t="s">
        <v>1789</v>
      </c>
    </row>
    <row r="317" spans="1:13" ht="31.5" x14ac:dyDescent="0.25">
      <c r="A317" s="152"/>
      <c r="B317" s="155"/>
      <c r="C317" s="41" t="s">
        <v>37</v>
      </c>
      <c r="D317" s="42">
        <v>400</v>
      </c>
      <c r="E317" s="42">
        <v>400</v>
      </c>
      <c r="F317" s="42"/>
      <c r="G317" s="57">
        <f t="shared" si="12"/>
        <v>1</v>
      </c>
      <c r="H317" s="58" t="s">
        <v>639</v>
      </c>
      <c r="I317" s="43" t="s">
        <v>18</v>
      </c>
      <c r="J317" s="44">
        <v>1</v>
      </c>
      <c r="K317" s="47">
        <v>1</v>
      </c>
      <c r="L317" s="41" t="s">
        <v>640</v>
      </c>
      <c r="M317" s="45"/>
    </row>
    <row r="318" spans="1:13" ht="31.5" x14ac:dyDescent="0.25">
      <c r="A318" s="152"/>
      <c r="B318" s="155"/>
      <c r="C318" s="41" t="s">
        <v>23</v>
      </c>
      <c r="D318" s="42">
        <v>600</v>
      </c>
      <c r="E318" s="42">
        <v>483.5</v>
      </c>
      <c r="F318" s="42">
        <v>116.5</v>
      </c>
      <c r="G318" s="61">
        <f t="shared" si="12"/>
        <v>0.80583333333333329</v>
      </c>
      <c r="H318" s="41" t="s">
        <v>641</v>
      </c>
      <c r="I318" s="43" t="s">
        <v>18</v>
      </c>
      <c r="J318" s="44">
        <v>1</v>
      </c>
      <c r="K318" s="47">
        <v>1</v>
      </c>
      <c r="L318" s="41" t="s">
        <v>642</v>
      </c>
      <c r="M318" s="45"/>
    </row>
    <row r="319" spans="1:13" x14ac:dyDescent="0.25">
      <c r="A319" s="152"/>
      <c r="B319" s="155"/>
      <c r="C319" s="41"/>
      <c r="D319" s="42"/>
      <c r="E319" s="42"/>
      <c r="F319" s="42"/>
      <c r="G319" s="42"/>
      <c r="H319" s="41" t="s">
        <v>643</v>
      </c>
      <c r="I319" s="43" t="s">
        <v>18</v>
      </c>
      <c r="J319" s="44">
        <v>1</v>
      </c>
      <c r="K319" s="47">
        <v>1</v>
      </c>
      <c r="L319" s="41" t="s">
        <v>644</v>
      </c>
      <c r="M319" s="45"/>
    </row>
    <row r="320" spans="1:13" ht="32.25" thickBot="1" x14ac:dyDescent="0.3">
      <c r="A320" s="153"/>
      <c r="B320" s="156"/>
      <c r="C320" s="41"/>
      <c r="D320" s="42"/>
      <c r="E320" s="42"/>
      <c r="F320" s="42"/>
      <c r="G320" s="42"/>
      <c r="H320" s="41" t="s">
        <v>645</v>
      </c>
      <c r="I320" s="43" t="s">
        <v>18</v>
      </c>
      <c r="J320" s="44">
        <v>1</v>
      </c>
      <c r="K320" s="47">
        <v>1</v>
      </c>
      <c r="L320" s="41" t="s">
        <v>646</v>
      </c>
      <c r="M320" s="45"/>
    </row>
    <row r="321" spans="1:17" ht="78.75" x14ac:dyDescent="0.25">
      <c r="A321" s="151" t="s">
        <v>647</v>
      </c>
      <c r="B321" s="154" t="s">
        <v>648</v>
      </c>
      <c r="C321" s="33"/>
      <c r="D321" s="34">
        <f>SUM(D322:D323)</f>
        <v>360.9</v>
      </c>
      <c r="E321" s="34"/>
      <c r="F321" s="34">
        <f>SUM(F322:F323)</f>
        <v>360.9</v>
      </c>
      <c r="G321" s="53">
        <f>SUM(E321/D321)</f>
        <v>0</v>
      </c>
      <c r="H321" s="33" t="s">
        <v>649</v>
      </c>
      <c r="I321" s="36" t="s">
        <v>18</v>
      </c>
      <c r="J321" s="37">
        <v>5</v>
      </c>
      <c r="K321" s="60">
        <v>30</v>
      </c>
      <c r="L321" s="33" t="s">
        <v>650</v>
      </c>
      <c r="M321" s="39"/>
    </row>
    <row r="322" spans="1:17" x14ac:dyDescent="0.25">
      <c r="A322" s="152"/>
      <c r="B322" s="155"/>
      <c r="C322" s="41" t="s">
        <v>23</v>
      </c>
      <c r="D322" s="42">
        <v>250</v>
      </c>
      <c r="E322" s="42"/>
      <c r="F322" s="42">
        <v>250</v>
      </c>
      <c r="G322" s="57">
        <f>SUM(E322/D322)</f>
        <v>0</v>
      </c>
      <c r="H322" s="58"/>
      <c r="I322" s="43"/>
      <c r="J322" s="44"/>
      <c r="K322" s="44"/>
      <c r="L322" s="41"/>
      <c r="M322" s="45"/>
    </row>
    <row r="323" spans="1:17" ht="16.5" thickBot="1" x14ac:dyDescent="0.3">
      <c r="A323" s="153"/>
      <c r="B323" s="156"/>
      <c r="C323" s="41" t="s">
        <v>37</v>
      </c>
      <c r="D323" s="42">
        <v>110.9</v>
      </c>
      <c r="E323" s="42"/>
      <c r="F323" s="42">
        <v>110.9</v>
      </c>
      <c r="G323" s="61">
        <f>SUM(E323/D323)</f>
        <v>0</v>
      </c>
      <c r="H323" s="41"/>
      <c r="I323" s="43"/>
      <c r="J323" s="44"/>
      <c r="K323" s="44"/>
      <c r="L323" s="41"/>
      <c r="M323" s="45"/>
    </row>
    <row r="324" spans="1:17" ht="32.25" thickBot="1" x14ac:dyDescent="0.3">
      <c r="A324" s="10" t="s">
        <v>651</v>
      </c>
      <c r="B324" s="11" t="s">
        <v>652</v>
      </c>
      <c r="C324" s="12"/>
      <c r="D324" s="13">
        <f>SUM(D325:D325)</f>
        <v>5188.5000000000009</v>
      </c>
      <c r="E324" s="13">
        <f>SUM(E325:E325)</f>
        <v>3441.9</v>
      </c>
      <c r="F324" s="13">
        <f>SUM(F325:F325)</f>
        <v>1746.5999999999997</v>
      </c>
      <c r="G324" s="14">
        <f>SUM(E324/D324)</f>
        <v>0.66337091644984092</v>
      </c>
      <c r="H324" s="126"/>
      <c r="I324" s="127"/>
      <c r="J324" s="127"/>
      <c r="K324" s="127"/>
      <c r="L324" s="127"/>
      <c r="M324" s="128"/>
      <c r="O324" s="23"/>
      <c r="P324" s="24" t="s">
        <v>1</v>
      </c>
      <c r="Q324" s="24" t="s">
        <v>1927</v>
      </c>
    </row>
    <row r="325" spans="1:17" ht="45" customHeight="1" x14ac:dyDescent="0.25">
      <c r="A325" s="157" t="s">
        <v>653</v>
      </c>
      <c r="B325" s="160" t="s">
        <v>654</v>
      </c>
      <c r="C325" s="17"/>
      <c r="D325" s="18">
        <f>D326+D327+D328+D329+D336</f>
        <v>5188.5000000000009</v>
      </c>
      <c r="E325" s="18">
        <f>E326+E327+E328+E329+E336+0.1</f>
        <v>3441.9</v>
      </c>
      <c r="F325" s="18">
        <f>F326+F327+F328+F329+F336-0.1</f>
        <v>1746.5999999999997</v>
      </c>
      <c r="G325" s="19">
        <f>SUM(E325/D325)</f>
        <v>0.66337091644984092</v>
      </c>
      <c r="H325" s="17" t="s">
        <v>655</v>
      </c>
      <c r="I325" s="20" t="s">
        <v>27</v>
      </c>
      <c r="J325" s="21">
        <v>1.5</v>
      </c>
      <c r="K325" s="21">
        <v>1.5</v>
      </c>
      <c r="L325" s="17"/>
      <c r="M325" s="22"/>
      <c r="O325" s="30"/>
      <c r="P325" s="31" t="s">
        <v>1712</v>
      </c>
      <c r="Q325" s="32">
        <v>6</v>
      </c>
    </row>
    <row r="326" spans="1:17" ht="31.5" x14ac:dyDescent="0.25">
      <c r="A326" s="158"/>
      <c r="B326" s="161"/>
      <c r="C326" s="67"/>
      <c r="D326" s="68"/>
      <c r="E326" s="68"/>
      <c r="F326" s="68"/>
      <c r="G326" s="68"/>
      <c r="H326" s="67" t="s">
        <v>656</v>
      </c>
      <c r="I326" s="69" t="s">
        <v>18</v>
      </c>
      <c r="J326" s="70">
        <v>12</v>
      </c>
      <c r="K326" s="70">
        <v>12</v>
      </c>
      <c r="L326" s="67"/>
      <c r="M326" s="71"/>
      <c r="O326" s="40"/>
      <c r="P326" s="31" t="s">
        <v>1713</v>
      </c>
      <c r="Q326" s="32"/>
    </row>
    <row r="327" spans="1:17" ht="31.5" x14ac:dyDescent="0.25">
      <c r="A327" s="158"/>
      <c r="B327" s="161"/>
      <c r="C327" s="67"/>
      <c r="D327" s="68"/>
      <c r="E327" s="68"/>
      <c r="F327" s="68"/>
      <c r="G327" s="68"/>
      <c r="H327" s="67" t="s">
        <v>657</v>
      </c>
      <c r="I327" s="69" t="s">
        <v>27</v>
      </c>
      <c r="J327" s="70">
        <v>4</v>
      </c>
      <c r="K327" s="70">
        <v>4</v>
      </c>
      <c r="L327" s="67"/>
      <c r="M327" s="71"/>
      <c r="O327" s="1"/>
      <c r="P327" s="2" t="s">
        <v>1714</v>
      </c>
      <c r="Q327" s="48">
        <v>1</v>
      </c>
    </row>
    <row r="328" spans="1:17" ht="48" thickBot="1" x14ac:dyDescent="0.3">
      <c r="A328" s="159"/>
      <c r="B328" s="162"/>
      <c r="C328" s="67"/>
      <c r="D328" s="68"/>
      <c r="E328" s="68"/>
      <c r="F328" s="68"/>
      <c r="G328" s="68"/>
      <c r="H328" s="67" t="s">
        <v>658</v>
      </c>
      <c r="I328" s="69" t="s">
        <v>27</v>
      </c>
      <c r="J328" s="70">
        <v>5</v>
      </c>
      <c r="K328" s="70">
        <v>5</v>
      </c>
      <c r="L328" s="67"/>
      <c r="M328" s="71"/>
      <c r="O328" s="50"/>
      <c r="P328" s="31" t="s">
        <v>1716</v>
      </c>
      <c r="Q328" s="48">
        <v>1</v>
      </c>
    </row>
    <row r="329" spans="1:17" ht="25.5" customHeight="1" thickBot="1" x14ac:dyDescent="0.3">
      <c r="A329" s="25" t="s">
        <v>659</v>
      </c>
      <c r="B329" s="26" t="s">
        <v>660</v>
      </c>
      <c r="C329" s="27"/>
      <c r="D329" s="28">
        <f>D330+D331+D334</f>
        <v>105.3</v>
      </c>
      <c r="E329" s="28">
        <f>E330+E331+E334</f>
        <v>93.3</v>
      </c>
      <c r="F329" s="28">
        <f>F330+F331+F334</f>
        <v>12</v>
      </c>
      <c r="G329" s="29">
        <f>SUM(E329/D329)</f>
        <v>0.88603988603988604</v>
      </c>
      <c r="H329" s="129"/>
      <c r="I329" s="130"/>
      <c r="J329" s="130"/>
      <c r="K329" s="130"/>
      <c r="L329" s="130"/>
      <c r="M329" s="131"/>
      <c r="O329" s="52"/>
      <c r="P329" s="31" t="s">
        <v>1717</v>
      </c>
      <c r="Q329" s="48">
        <v>1</v>
      </c>
    </row>
    <row r="330" spans="1:17" ht="242.25" customHeight="1" thickBot="1" x14ac:dyDescent="0.3">
      <c r="A330" s="64" t="s">
        <v>661</v>
      </c>
      <c r="B330" s="65" t="s">
        <v>662</v>
      </c>
      <c r="C330" s="33" t="s">
        <v>23</v>
      </c>
      <c r="D330" s="66">
        <v>39.799999999999997</v>
      </c>
      <c r="E330" s="66">
        <v>35.299999999999997</v>
      </c>
      <c r="F330" s="66">
        <v>4.5</v>
      </c>
      <c r="G330" s="35">
        <f>SUM(E330/D330)</f>
        <v>0.88693467336683418</v>
      </c>
      <c r="H330" s="33" t="s">
        <v>663</v>
      </c>
      <c r="I330" s="36" t="s">
        <v>18</v>
      </c>
      <c r="J330" s="37">
        <v>8</v>
      </c>
      <c r="K330" s="38">
        <v>8</v>
      </c>
      <c r="L330" s="33" t="s">
        <v>664</v>
      </c>
      <c r="M330" s="39" t="s">
        <v>1790</v>
      </c>
      <c r="O330" s="23"/>
      <c r="P330" s="55" t="s">
        <v>1715</v>
      </c>
      <c r="Q330" s="48">
        <f>+SUM(Q325:Q329)</f>
        <v>9</v>
      </c>
    </row>
    <row r="331" spans="1:17" ht="252" x14ac:dyDescent="0.25">
      <c r="A331" s="151" t="s">
        <v>665</v>
      </c>
      <c r="B331" s="154" t="s">
        <v>666</v>
      </c>
      <c r="C331" s="33" t="s">
        <v>23</v>
      </c>
      <c r="D331" s="34">
        <f>SUM(D332:D333)+21.8</f>
        <v>21.8</v>
      </c>
      <c r="E331" s="34">
        <f>SUM(E332:E333)+21.1</f>
        <v>21.1</v>
      </c>
      <c r="F331" s="34">
        <f>SUM(F332:F333)+0.7</f>
        <v>0.7</v>
      </c>
      <c r="G331" s="35">
        <f>SUM(E331/D331)</f>
        <v>0.96788990825688082</v>
      </c>
      <c r="H331" s="33" t="s">
        <v>667</v>
      </c>
      <c r="I331" s="36" t="s">
        <v>18</v>
      </c>
      <c r="J331" s="37">
        <v>5</v>
      </c>
      <c r="K331" s="38">
        <v>5</v>
      </c>
      <c r="L331" s="33" t="s">
        <v>668</v>
      </c>
      <c r="M331" s="39" t="s">
        <v>669</v>
      </c>
    </row>
    <row r="332" spans="1:17" ht="31.5" x14ac:dyDescent="0.25">
      <c r="A332" s="152"/>
      <c r="B332" s="155"/>
      <c r="C332" s="41"/>
      <c r="D332" s="42">
        <v>0</v>
      </c>
      <c r="E332" s="42">
        <v>0</v>
      </c>
      <c r="F332" s="42">
        <v>0</v>
      </c>
      <c r="G332" s="42"/>
      <c r="H332" s="41" t="s">
        <v>670</v>
      </c>
      <c r="I332" s="43" t="s">
        <v>18</v>
      </c>
      <c r="J332" s="44">
        <v>6</v>
      </c>
      <c r="K332" s="72">
        <v>5</v>
      </c>
      <c r="L332" s="41"/>
      <c r="M332" s="45" t="s">
        <v>1791</v>
      </c>
    </row>
    <row r="333" spans="1:17" ht="79.5" thickBot="1" x14ac:dyDescent="0.3">
      <c r="A333" s="153"/>
      <c r="B333" s="156"/>
      <c r="C333" s="41"/>
      <c r="D333" s="42">
        <v>0</v>
      </c>
      <c r="E333" s="42">
        <v>0</v>
      </c>
      <c r="F333" s="42">
        <v>0</v>
      </c>
      <c r="G333" s="42"/>
      <c r="H333" s="41" t="s">
        <v>671</v>
      </c>
      <c r="I333" s="43" t="s">
        <v>485</v>
      </c>
      <c r="J333" s="44">
        <v>280</v>
      </c>
      <c r="K333" s="63">
        <v>300</v>
      </c>
      <c r="L333" s="41"/>
      <c r="M333" s="45" t="s">
        <v>1792</v>
      </c>
    </row>
    <row r="334" spans="1:17" ht="220.5" x14ac:dyDescent="0.25">
      <c r="A334" s="151" t="s">
        <v>672</v>
      </c>
      <c r="B334" s="154" t="s">
        <v>673</v>
      </c>
      <c r="C334" s="33" t="s">
        <v>23</v>
      </c>
      <c r="D334" s="34">
        <f>SUM(D335:D335)+43.7</f>
        <v>43.7</v>
      </c>
      <c r="E334" s="34">
        <f>SUM(E335:E335)+36.9</f>
        <v>36.9</v>
      </c>
      <c r="F334" s="34">
        <f>SUM(F335:F335)+6.8</f>
        <v>6.8</v>
      </c>
      <c r="G334" s="35">
        <f>SUM(E334/D334)</f>
        <v>0.84439359267734548</v>
      </c>
      <c r="H334" s="33" t="s">
        <v>674</v>
      </c>
      <c r="I334" s="36" t="s">
        <v>340</v>
      </c>
      <c r="J334" s="37">
        <v>35</v>
      </c>
      <c r="K334" s="62">
        <v>27</v>
      </c>
      <c r="L334" s="33" t="s">
        <v>675</v>
      </c>
      <c r="M334" s="39" t="s">
        <v>1793</v>
      </c>
    </row>
    <row r="335" spans="1:17" ht="79.5" thickBot="1" x14ac:dyDescent="0.3">
      <c r="A335" s="153"/>
      <c r="B335" s="156"/>
      <c r="C335" s="41"/>
      <c r="D335" s="42"/>
      <c r="E335" s="42"/>
      <c r="F335" s="42"/>
      <c r="G335" s="42"/>
      <c r="H335" s="41" t="s">
        <v>676</v>
      </c>
      <c r="I335" s="43" t="s">
        <v>18</v>
      </c>
      <c r="J335" s="44">
        <v>15</v>
      </c>
      <c r="K335" s="63">
        <v>20</v>
      </c>
      <c r="L335" s="41"/>
      <c r="M335" s="45" t="s">
        <v>1794</v>
      </c>
    </row>
    <row r="336" spans="1:17" ht="32.25" thickBot="1" x14ac:dyDescent="0.3">
      <c r="A336" s="25" t="s">
        <v>677</v>
      </c>
      <c r="B336" s="26" t="s">
        <v>678</v>
      </c>
      <c r="C336" s="27"/>
      <c r="D336" s="28">
        <f>D337+D340+D366+D369+D370+D376</f>
        <v>5083.2000000000007</v>
      </c>
      <c r="E336" s="28">
        <f>E337+E340+E366+E369+E370+E376-0.1</f>
        <v>3348.5</v>
      </c>
      <c r="F336" s="28">
        <f>F337+F340+F366+F369+F370+F376</f>
        <v>1734.6999999999996</v>
      </c>
      <c r="G336" s="29">
        <f>SUM(E336/D336)</f>
        <v>0.65873858986465206</v>
      </c>
      <c r="H336" s="129"/>
      <c r="I336" s="130"/>
      <c r="J336" s="130"/>
      <c r="K336" s="130"/>
      <c r="L336" s="130"/>
      <c r="M336" s="131"/>
    </row>
    <row r="337" spans="1:13" ht="409.5" x14ac:dyDescent="0.25">
      <c r="A337" s="151" t="s">
        <v>679</v>
      </c>
      <c r="B337" s="154" t="s">
        <v>680</v>
      </c>
      <c r="C337" s="33"/>
      <c r="D337" s="34">
        <f>SUM(D338:D339)</f>
        <v>121.8</v>
      </c>
      <c r="E337" s="34">
        <f>SUM(E338:E339)</f>
        <v>57.7</v>
      </c>
      <c r="F337" s="34">
        <f>SUM(F338:F339)</f>
        <v>64.099999999999994</v>
      </c>
      <c r="G337" s="53">
        <f>SUM(E337/D337)</f>
        <v>0.4737274220032841</v>
      </c>
      <c r="H337" s="33" t="s">
        <v>681</v>
      </c>
      <c r="I337" s="36" t="s">
        <v>18</v>
      </c>
      <c r="J337" s="37">
        <v>10</v>
      </c>
      <c r="K337" s="60">
        <v>16</v>
      </c>
      <c r="L337" s="33" t="s">
        <v>682</v>
      </c>
      <c r="M337" s="39" t="s">
        <v>1795</v>
      </c>
    </row>
    <row r="338" spans="1:13" x14ac:dyDescent="0.25">
      <c r="A338" s="152"/>
      <c r="B338" s="155"/>
      <c r="C338" s="41" t="s">
        <v>37</v>
      </c>
      <c r="D338" s="42">
        <v>21.8</v>
      </c>
      <c r="E338" s="42">
        <v>21.8</v>
      </c>
      <c r="F338" s="42"/>
      <c r="G338" s="57">
        <f>SUM(E338/D338)</f>
        <v>1</v>
      </c>
      <c r="H338" s="58"/>
      <c r="I338" s="43"/>
      <c r="J338" s="44"/>
      <c r="K338" s="44"/>
      <c r="L338" s="41"/>
      <c r="M338" s="45"/>
    </row>
    <row r="339" spans="1:13" ht="16.5" thickBot="1" x14ac:dyDescent="0.3">
      <c r="A339" s="153"/>
      <c r="B339" s="156"/>
      <c r="C339" s="41" t="s">
        <v>23</v>
      </c>
      <c r="D339" s="42">
        <v>100</v>
      </c>
      <c r="E339" s="42">
        <v>35.9</v>
      </c>
      <c r="F339" s="42">
        <v>64.099999999999994</v>
      </c>
      <c r="G339" s="61">
        <f>SUM(E339/D339)</f>
        <v>0.35899999999999999</v>
      </c>
      <c r="H339" s="41"/>
      <c r="I339" s="43"/>
      <c r="J339" s="44"/>
      <c r="K339" s="44"/>
      <c r="L339" s="41"/>
      <c r="M339" s="45"/>
    </row>
    <row r="340" spans="1:13" ht="75" customHeight="1" x14ac:dyDescent="0.25">
      <c r="A340" s="151" t="s">
        <v>683</v>
      </c>
      <c r="B340" s="154" t="s">
        <v>684</v>
      </c>
      <c r="C340" s="33"/>
      <c r="D340" s="34">
        <f>D341+D342+D343+D344+D345+D348+D349+D355+D358+D362+D363</f>
        <v>4462.1000000000004</v>
      </c>
      <c r="E340" s="34">
        <f>E341+E342+E343+E344+E345+E348+E349+E355+E358+E362+E363</f>
        <v>2820.3</v>
      </c>
      <c r="F340" s="34">
        <f>F341+F342+F343+F344+F345+F348+F349+F355+F358+F362+F363+0.1</f>
        <v>1641.8999999999996</v>
      </c>
      <c r="G340" s="35">
        <f>SUM(E340/D340)</f>
        <v>0.6320566549382578</v>
      </c>
      <c r="H340" s="33" t="s">
        <v>685</v>
      </c>
      <c r="I340" s="36" t="s">
        <v>528</v>
      </c>
      <c r="J340" s="37">
        <v>0.9</v>
      </c>
      <c r="K340" s="38">
        <v>0.9</v>
      </c>
      <c r="L340" s="33" t="s">
        <v>686</v>
      </c>
      <c r="M340" s="39"/>
    </row>
    <row r="341" spans="1:13" ht="31.5" hidden="1" x14ac:dyDescent="0.25">
      <c r="A341" s="152"/>
      <c r="B341" s="155"/>
      <c r="C341" s="41"/>
      <c r="D341" s="42"/>
      <c r="E341" s="42"/>
      <c r="F341" s="42"/>
      <c r="G341" s="42"/>
      <c r="H341" s="41" t="s">
        <v>687</v>
      </c>
      <c r="I341" s="43" t="s">
        <v>528</v>
      </c>
      <c r="J341" s="44"/>
      <c r="K341" s="44"/>
      <c r="L341" s="41"/>
      <c r="M341" s="45"/>
    </row>
    <row r="342" spans="1:13" ht="31.5" hidden="1" x14ac:dyDescent="0.25">
      <c r="A342" s="152"/>
      <c r="B342" s="155"/>
      <c r="C342" s="41"/>
      <c r="D342" s="42"/>
      <c r="E342" s="42"/>
      <c r="F342" s="42"/>
      <c r="G342" s="42"/>
      <c r="H342" s="41" t="s">
        <v>688</v>
      </c>
      <c r="I342" s="43" t="s">
        <v>18</v>
      </c>
      <c r="J342" s="44"/>
      <c r="K342" s="44"/>
      <c r="L342" s="41"/>
      <c r="M342" s="45"/>
    </row>
    <row r="343" spans="1:13" ht="31.5" x14ac:dyDescent="0.25">
      <c r="A343" s="152"/>
      <c r="B343" s="155"/>
      <c r="C343" s="41"/>
      <c r="D343" s="42"/>
      <c r="E343" s="42"/>
      <c r="F343" s="42"/>
      <c r="G343" s="42"/>
      <c r="H343" s="41" t="s">
        <v>689</v>
      </c>
      <c r="I343" s="43" t="s">
        <v>18</v>
      </c>
      <c r="J343" s="44">
        <v>2</v>
      </c>
      <c r="K343" s="72">
        <v>1</v>
      </c>
      <c r="L343" s="87"/>
      <c r="M343" s="88"/>
    </row>
    <row r="344" spans="1:13" ht="34.5" customHeight="1" thickBot="1" x14ac:dyDescent="0.3">
      <c r="A344" s="153"/>
      <c r="B344" s="156"/>
      <c r="C344" s="41"/>
      <c r="D344" s="42"/>
      <c r="E344" s="42"/>
      <c r="F344" s="42"/>
      <c r="G344" s="42"/>
      <c r="H344" s="41" t="s">
        <v>691</v>
      </c>
      <c r="I344" s="43" t="s">
        <v>18</v>
      </c>
      <c r="J344" s="44">
        <v>3</v>
      </c>
      <c r="K344" s="47">
        <v>3</v>
      </c>
      <c r="L344" s="41"/>
      <c r="M344" s="45"/>
    </row>
    <row r="345" spans="1:13" ht="210.75" customHeight="1" x14ac:dyDescent="0.25">
      <c r="A345" s="151" t="s">
        <v>692</v>
      </c>
      <c r="B345" s="154" t="s">
        <v>693</v>
      </c>
      <c r="C345" s="33"/>
      <c r="D345" s="34">
        <f>SUM(D346:D347)</f>
        <v>41.3</v>
      </c>
      <c r="E345" s="34">
        <f>SUM(E346:E347)</f>
        <v>25.3</v>
      </c>
      <c r="F345" s="34">
        <f>SUM(F346:F347)</f>
        <v>16</v>
      </c>
      <c r="G345" s="53">
        <f t="shared" ref="G345:G370" si="13">SUM(E345/D345)</f>
        <v>0.61259079903147706</v>
      </c>
      <c r="H345" s="33" t="s">
        <v>691</v>
      </c>
      <c r="I345" s="36" t="s">
        <v>18</v>
      </c>
      <c r="J345" s="37">
        <v>3</v>
      </c>
      <c r="K345" s="89">
        <v>3</v>
      </c>
      <c r="L345" s="83" t="s">
        <v>1727</v>
      </c>
      <c r="M345" s="80" t="s">
        <v>1796</v>
      </c>
    </row>
    <row r="346" spans="1:13" ht="126" x14ac:dyDescent="0.25">
      <c r="A346" s="152"/>
      <c r="B346" s="155"/>
      <c r="C346" s="41" t="s">
        <v>23</v>
      </c>
      <c r="D346" s="42">
        <v>8.8000000000000007</v>
      </c>
      <c r="E346" s="42">
        <v>0.7</v>
      </c>
      <c r="F346" s="42">
        <v>8.1</v>
      </c>
      <c r="G346" s="57">
        <f t="shared" si="13"/>
        <v>7.954545454545453E-2</v>
      </c>
      <c r="H346" s="58" t="s">
        <v>689</v>
      </c>
      <c r="I346" s="43" t="s">
        <v>18</v>
      </c>
      <c r="J346" s="44">
        <v>2</v>
      </c>
      <c r="K346" s="72">
        <v>1</v>
      </c>
      <c r="L346" s="41" t="s">
        <v>690</v>
      </c>
      <c r="M346" s="45" t="s">
        <v>1797</v>
      </c>
    </row>
    <row r="347" spans="1:13" ht="16.5" thickBot="1" x14ac:dyDescent="0.3">
      <c r="A347" s="153"/>
      <c r="B347" s="156"/>
      <c r="C347" s="41" t="s">
        <v>37</v>
      </c>
      <c r="D347" s="42">
        <v>32.5</v>
      </c>
      <c r="E347" s="42">
        <v>24.6</v>
      </c>
      <c r="F347" s="42">
        <v>7.9</v>
      </c>
      <c r="G347" s="61">
        <f t="shared" si="13"/>
        <v>0.75692307692307692</v>
      </c>
      <c r="H347" s="41"/>
      <c r="I347" s="43"/>
      <c r="J347" s="44"/>
      <c r="K347" s="44"/>
      <c r="L347" s="41"/>
      <c r="M347" s="45"/>
    </row>
    <row r="348" spans="1:13" ht="79.5" thickBot="1" x14ac:dyDescent="0.3">
      <c r="A348" s="64" t="s">
        <v>694</v>
      </c>
      <c r="B348" s="65" t="s">
        <v>695</v>
      </c>
      <c r="C348" s="33" t="s">
        <v>208</v>
      </c>
      <c r="D348" s="66">
        <v>5.3</v>
      </c>
      <c r="E348" s="66">
        <v>5.2</v>
      </c>
      <c r="F348" s="66">
        <v>0.1</v>
      </c>
      <c r="G348" s="35">
        <f t="shared" si="13"/>
        <v>0.98113207547169823</v>
      </c>
      <c r="H348" s="33" t="s">
        <v>343</v>
      </c>
      <c r="I348" s="36" t="s">
        <v>18</v>
      </c>
      <c r="J348" s="37">
        <v>1</v>
      </c>
      <c r="K348" s="38">
        <v>1</v>
      </c>
      <c r="L348" s="33" t="s">
        <v>619</v>
      </c>
      <c r="M348" s="39"/>
    </row>
    <row r="349" spans="1:13" ht="126" x14ac:dyDescent="0.25">
      <c r="A349" s="151" t="s">
        <v>696</v>
      </c>
      <c r="B349" s="154" t="s">
        <v>697</v>
      </c>
      <c r="C349" s="33"/>
      <c r="D349" s="34">
        <f>SUM(D350:D354)</f>
        <v>2771.8</v>
      </c>
      <c r="E349" s="34">
        <f>SUM(E350:E354)+0.1</f>
        <v>1176.0999999999999</v>
      </c>
      <c r="F349" s="34">
        <f>SUM(F350:F354)-0.1</f>
        <v>1595.7</v>
      </c>
      <c r="G349" s="53">
        <f t="shared" si="13"/>
        <v>0.42430911321163139</v>
      </c>
      <c r="H349" s="33" t="s">
        <v>685</v>
      </c>
      <c r="I349" s="36" t="s">
        <v>18</v>
      </c>
      <c r="J349" s="37">
        <v>0.9</v>
      </c>
      <c r="K349" s="38">
        <v>0.9</v>
      </c>
      <c r="L349" s="33" t="s">
        <v>698</v>
      </c>
      <c r="M349" s="39" t="s">
        <v>1798</v>
      </c>
    </row>
    <row r="350" spans="1:13" x14ac:dyDescent="0.25">
      <c r="A350" s="152"/>
      <c r="B350" s="155"/>
      <c r="C350" s="41" t="s">
        <v>208</v>
      </c>
      <c r="D350" s="42">
        <v>1503</v>
      </c>
      <c r="E350" s="42">
        <v>76.3</v>
      </c>
      <c r="F350" s="42">
        <v>1426.7</v>
      </c>
      <c r="G350" s="57">
        <f t="shared" si="13"/>
        <v>5.0765136393878904E-2</v>
      </c>
      <c r="H350" s="58"/>
      <c r="I350" s="43"/>
      <c r="J350" s="44"/>
      <c r="K350" s="44"/>
      <c r="L350" s="41"/>
      <c r="M350" s="45"/>
    </row>
    <row r="351" spans="1:13" x14ac:dyDescent="0.25">
      <c r="A351" s="152"/>
      <c r="B351" s="155"/>
      <c r="C351" s="41" t="s">
        <v>37</v>
      </c>
      <c r="D351" s="42">
        <v>441.6</v>
      </c>
      <c r="E351" s="42">
        <v>441.5</v>
      </c>
      <c r="F351" s="42">
        <v>0.1</v>
      </c>
      <c r="G351" s="57">
        <f t="shared" si="13"/>
        <v>0.99977355072463758</v>
      </c>
      <c r="H351" s="58"/>
      <c r="I351" s="43"/>
      <c r="J351" s="44"/>
      <c r="K351" s="44"/>
      <c r="L351" s="41"/>
      <c r="M351" s="45"/>
    </row>
    <row r="352" spans="1:13" x14ac:dyDescent="0.25">
      <c r="A352" s="152"/>
      <c r="B352" s="155"/>
      <c r="C352" s="41" t="s">
        <v>23</v>
      </c>
      <c r="D352" s="42">
        <v>505.9</v>
      </c>
      <c r="E352" s="42">
        <v>493.2</v>
      </c>
      <c r="F352" s="42">
        <v>12.7</v>
      </c>
      <c r="G352" s="57">
        <f t="shared" si="13"/>
        <v>0.97489622455030644</v>
      </c>
      <c r="H352" s="58"/>
      <c r="I352" s="43"/>
      <c r="J352" s="44"/>
      <c r="K352" s="44"/>
      <c r="L352" s="41"/>
      <c r="M352" s="45"/>
    </row>
    <row r="353" spans="1:13" x14ac:dyDescent="0.25">
      <c r="A353" s="152"/>
      <c r="B353" s="155"/>
      <c r="C353" s="41" t="s">
        <v>78</v>
      </c>
      <c r="D353" s="42">
        <v>191.4</v>
      </c>
      <c r="E353" s="42">
        <v>35.1</v>
      </c>
      <c r="F353" s="42">
        <v>156.30000000000001</v>
      </c>
      <c r="G353" s="57">
        <f t="shared" si="13"/>
        <v>0.18338557993730409</v>
      </c>
      <c r="H353" s="58"/>
      <c r="I353" s="43"/>
      <c r="J353" s="44"/>
      <c r="K353" s="44"/>
      <c r="L353" s="41"/>
      <c r="M353" s="45"/>
    </row>
    <row r="354" spans="1:13" ht="16.5" thickBot="1" x14ac:dyDescent="0.3">
      <c r="A354" s="153"/>
      <c r="B354" s="156"/>
      <c r="C354" s="41" t="s">
        <v>217</v>
      </c>
      <c r="D354" s="42">
        <v>129.9</v>
      </c>
      <c r="E354" s="42">
        <v>129.9</v>
      </c>
      <c r="F354" s="42"/>
      <c r="G354" s="61">
        <f t="shared" si="13"/>
        <v>1</v>
      </c>
      <c r="H354" s="41"/>
      <c r="I354" s="43"/>
      <c r="J354" s="44"/>
      <c r="K354" s="44"/>
      <c r="L354" s="41"/>
      <c r="M354" s="45"/>
    </row>
    <row r="355" spans="1:13" ht="63" x14ac:dyDescent="0.25">
      <c r="A355" s="151" t="s">
        <v>699</v>
      </c>
      <c r="B355" s="154" t="s">
        <v>700</v>
      </c>
      <c r="C355" s="33"/>
      <c r="D355" s="34">
        <f>SUM(D356:D357)</f>
        <v>79</v>
      </c>
      <c r="E355" s="34">
        <f>SUM(E356:E357)</f>
        <v>49.5</v>
      </c>
      <c r="F355" s="34">
        <f>SUM(F356:F357)</f>
        <v>29.5</v>
      </c>
      <c r="G355" s="53">
        <f t="shared" si="13"/>
        <v>0.62658227848101267</v>
      </c>
      <c r="H355" s="33" t="s">
        <v>343</v>
      </c>
      <c r="I355" s="36" t="s">
        <v>18</v>
      </c>
      <c r="J355" s="37">
        <v>1</v>
      </c>
      <c r="K355" s="38">
        <v>1</v>
      </c>
      <c r="L355" s="33" t="s">
        <v>701</v>
      </c>
      <c r="M355" s="39" t="s">
        <v>1799</v>
      </c>
    </row>
    <row r="356" spans="1:13" x14ac:dyDescent="0.25">
      <c r="A356" s="152"/>
      <c r="B356" s="155"/>
      <c r="C356" s="41" t="s">
        <v>37</v>
      </c>
      <c r="D356" s="42">
        <v>46.1</v>
      </c>
      <c r="E356" s="42">
        <v>16.600000000000001</v>
      </c>
      <c r="F356" s="42">
        <v>29.5</v>
      </c>
      <c r="G356" s="57">
        <f t="shared" si="13"/>
        <v>0.36008676789587857</v>
      </c>
      <c r="H356" s="58"/>
      <c r="I356" s="43"/>
      <c r="J356" s="44"/>
      <c r="K356" s="44"/>
      <c r="L356" s="41"/>
      <c r="M356" s="45"/>
    </row>
    <row r="357" spans="1:13" ht="16.5" thickBot="1" x14ac:dyDescent="0.3">
      <c r="A357" s="153"/>
      <c r="B357" s="156"/>
      <c r="C357" s="41" t="s">
        <v>78</v>
      </c>
      <c r="D357" s="42">
        <v>32.9</v>
      </c>
      <c r="E357" s="42">
        <v>32.9</v>
      </c>
      <c r="F357" s="42"/>
      <c r="G357" s="61">
        <f t="shared" si="13"/>
        <v>1</v>
      </c>
      <c r="H357" s="41"/>
      <c r="I357" s="43"/>
      <c r="J357" s="44"/>
      <c r="K357" s="44"/>
      <c r="L357" s="41"/>
      <c r="M357" s="45"/>
    </row>
    <row r="358" spans="1:13" ht="105" customHeight="1" x14ac:dyDescent="0.25">
      <c r="A358" s="151" t="s">
        <v>702</v>
      </c>
      <c r="B358" s="154" t="s">
        <v>703</v>
      </c>
      <c r="C358" s="33"/>
      <c r="D358" s="34">
        <f>SUM(D359:D361)</f>
        <v>659</v>
      </c>
      <c r="E358" s="34">
        <f>SUM(E359:E361)+0.1</f>
        <v>658.90000000000009</v>
      </c>
      <c r="F358" s="34">
        <f>SUM(F359:F361)-0.1</f>
        <v>0.1</v>
      </c>
      <c r="G358" s="53">
        <f t="shared" si="13"/>
        <v>0.99984825493171481</v>
      </c>
      <c r="H358" s="33" t="s">
        <v>343</v>
      </c>
      <c r="I358" s="36" t="s">
        <v>18</v>
      </c>
      <c r="J358" s="37">
        <v>1</v>
      </c>
      <c r="K358" s="38">
        <v>1</v>
      </c>
      <c r="L358" s="33" t="s">
        <v>704</v>
      </c>
      <c r="M358" s="39"/>
    </row>
    <row r="359" spans="1:13" x14ac:dyDescent="0.25">
      <c r="A359" s="152"/>
      <c r="B359" s="155"/>
      <c r="C359" s="41" t="s">
        <v>78</v>
      </c>
      <c r="D359" s="42">
        <v>570.5</v>
      </c>
      <c r="E359" s="42">
        <v>570.4</v>
      </c>
      <c r="F359" s="42">
        <v>0.1</v>
      </c>
      <c r="G359" s="57">
        <f t="shared" si="13"/>
        <v>0.99982471516213844</v>
      </c>
      <c r="H359" s="58"/>
      <c r="I359" s="43"/>
      <c r="J359" s="44"/>
      <c r="K359" s="44"/>
      <c r="L359" s="41"/>
      <c r="M359" s="45"/>
    </row>
    <row r="360" spans="1:13" x14ac:dyDescent="0.25">
      <c r="A360" s="152"/>
      <c r="B360" s="155"/>
      <c r="C360" s="41" t="s">
        <v>23</v>
      </c>
      <c r="D360" s="42">
        <v>39.700000000000003</v>
      </c>
      <c r="E360" s="42">
        <v>39.700000000000003</v>
      </c>
      <c r="F360" s="42"/>
      <c r="G360" s="57">
        <f t="shared" si="13"/>
        <v>1</v>
      </c>
      <c r="H360" s="58"/>
      <c r="I360" s="43"/>
      <c r="J360" s="44"/>
      <c r="K360" s="44"/>
      <c r="L360" s="41"/>
      <c r="M360" s="45"/>
    </row>
    <row r="361" spans="1:13" ht="16.5" thickBot="1" x14ac:dyDescent="0.3">
      <c r="A361" s="153"/>
      <c r="B361" s="156"/>
      <c r="C361" s="41" t="s">
        <v>37</v>
      </c>
      <c r="D361" s="42">
        <v>48.8</v>
      </c>
      <c r="E361" s="42">
        <v>48.7</v>
      </c>
      <c r="F361" s="42">
        <v>0.1</v>
      </c>
      <c r="G361" s="61">
        <f t="shared" si="13"/>
        <v>0.99795081967213128</v>
      </c>
      <c r="H361" s="41"/>
      <c r="I361" s="43"/>
      <c r="J361" s="44"/>
      <c r="K361" s="44"/>
      <c r="L361" s="41"/>
      <c r="M361" s="45"/>
    </row>
    <row r="362" spans="1:13" ht="142.5" thickBot="1" x14ac:dyDescent="0.3">
      <c r="A362" s="64" t="s">
        <v>705</v>
      </c>
      <c r="B362" s="65" t="s">
        <v>706</v>
      </c>
      <c r="C362" s="33" t="s">
        <v>23</v>
      </c>
      <c r="D362" s="66">
        <v>16.399999999999999</v>
      </c>
      <c r="E362" s="66">
        <v>16.3</v>
      </c>
      <c r="F362" s="66">
        <v>0.1</v>
      </c>
      <c r="G362" s="35">
        <f t="shared" si="13"/>
        <v>0.99390243902439035</v>
      </c>
      <c r="H362" s="33" t="s">
        <v>343</v>
      </c>
      <c r="I362" s="36" t="s">
        <v>18</v>
      </c>
      <c r="J362" s="37">
        <v>1</v>
      </c>
      <c r="K362" s="38">
        <v>1</v>
      </c>
      <c r="L362" s="33" t="s">
        <v>707</v>
      </c>
      <c r="M362" s="39"/>
    </row>
    <row r="363" spans="1:13" ht="105" customHeight="1" x14ac:dyDescent="0.25">
      <c r="A363" s="151" t="s">
        <v>708</v>
      </c>
      <c r="B363" s="154" t="s">
        <v>709</v>
      </c>
      <c r="C363" s="33"/>
      <c r="D363" s="34">
        <f>SUM(D364:D365)</f>
        <v>889.3</v>
      </c>
      <c r="E363" s="34">
        <f>SUM(E364:E365)</f>
        <v>889</v>
      </c>
      <c r="F363" s="34">
        <f>SUM(F364:F365)</f>
        <v>0.3</v>
      </c>
      <c r="G363" s="53">
        <f t="shared" si="13"/>
        <v>0.9996626560215901</v>
      </c>
      <c r="H363" s="33" t="s">
        <v>542</v>
      </c>
      <c r="I363" s="36" t="s">
        <v>27</v>
      </c>
      <c r="J363" s="37">
        <v>14</v>
      </c>
      <c r="K363" s="38">
        <v>14</v>
      </c>
      <c r="L363" s="33" t="s">
        <v>710</v>
      </c>
      <c r="M363" s="39"/>
    </row>
    <row r="364" spans="1:13" x14ac:dyDescent="0.25">
      <c r="A364" s="152"/>
      <c r="B364" s="155"/>
      <c r="C364" s="41" t="s">
        <v>78</v>
      </c>
      <c r="D364" s="42">
        <v>881.8</v>
      </c>
      <c r="E364" s="42">
        <v>881.5</v>
      </c>
      <c r="F364" s="42">
        <v>0.3</v>
      </c>
      <c r="G364" s="57">
        <f t="shared" si="13"/>
        <v>0.99965978679972789</v>
      </c>
      <c r="H364" s="58"/>
      <c r="I364" s="43"/>
      <c r="J364" s="44"/>
      <c r="K364" s="44"/>
      <c r="L364" s="41"/>
      <c r="M364" s="45"/>
    </row>
    <row r="365" spans="1:13" ht="16.5" thickBot="1" x14ac:dyDescent="0.3">
      <c r="A365" s="153"/>
      <c r="B365" s="156"/>
      <c r="C365" s="41" t="s">
        <v>37</v>
      </c>
      <c r="D365" s="42">
        <v>7.5</v>
      </c>
      <c r="E365" s="42">
        <v>7.5</v>
      </c>
      <c r="F365" s="42"/>
      <c r="G365" s="61">
        <f t="shared" si="13"/>
        <v>1</v>
      </c>
      <c r="H365" s="41"/>
      <c r="I365" s="43"/>
      <c r="J365" s="44"/>
      <c r="K365" s="44"/>
      <c r="L365" s="41"/>
      <c r="M365" s="45"/>
    </row>
    <row r="366" spans="1:13" ht="157.5" x14ac:dyDescent="0.25">
      <c r="A366" s="151" t="s">
        <v>711</v>
      </c>
      <c r="B366" s="154" t="s">
        <v>712</v>
      </c>
      <c r="C366" s="33"/>
      <c r="D366" s="34">
        <f>SUM(D367:D368)</f>
        <v>399.6</v>
      </c>
      <c r="E366" s="34">
        <f>SUM(E367:E368)</f>
        <v>399.6</v>
      </c>
      <c r="F366" s="34"/>
      <c r="G366" s="53">
        <f t="shared" si="13"/>
        <v>1</v>
      </c>
      <c r="H366" s="33" t="s">
        <v>713</v>
      </c>
      <c r="I366" s="36" t="s">
        <v>27</v>
      </c>
      <c r="J366" s="37">
        <v>100</v>
      </c>
      <c r="K366" s="38">
        <v>100</v>
      </c>
      <c r="L366" s="33" t="s">
        <v>714</v>
      </c>
      <c r="M366" s="39"/>
    </row>
    <row r="367" spans="1:13" ht="183" customHeight="1" x14ac:dyDescent="0.25">
      <c r="A367" s="152"/>
      <c r="B367" s="155"/>
      <c r="C367" s="41" t="s">
        <v>23</v>
      </c>
      <c r="D367" s="42">
        <v>210</v>
      </c>
      <c r="E367" s="42">
        <v>210</v>
      </c>
      <c r="F367" s="42"/>
      <c r="G367" s="57">
        <f t="shared" si="13"/>
        <v>1</v>
      </c>
      <c r="H367" s="58" t="s">
        <v>715</v>
      </c>
      <c r="I367" s="43" t="s">
        <v>18</v>
      </c>
      <c r="J367" s="44">
        <v>3</v>
      </c>
      <c r="K367" s="47">
        <v>3</v>
      </c>
      <c r="L367" s="41" t="s">
        <v>716</v>
      </c>
      <c r="M367" s="81" t="s">
        <v>1800</v>
      </c>
    </row>
    <row r="368" spans="1:13" ht="16.5" thickBot="1" x14ac:dyDescent="0.3">
      <c r="A368" s="153"/>
      <c r="B368" s="156"/>
      <c r="C368" s="41" t="s">
        <v>37</v>
      </c>
      <c r="D368" s="42">
        <v>189.6</v>
      </c>
      <c r="E368" s="42">
        <v>189.6</v>
      </c>
      <c r="F368" s="42"/>
      <c r="G368" s="61">
        <f t="shared" si="13"/>
        <v>1</v>
      </c>
      <c r="H368" s="41"/>
      <c r="I368" s="43"/>
      <c r="J368" s="44"/>
      <c r="K368" s="44"/>
      <c r="L368" s="41"/>
      <c r="M368" s="45"/>
    </row>
    <row r="369" spans="1:17" ht="284.25" thickBot="1" x14ac:dyDescent="0.3">
      <c r="A369" s="64" t="s">
        <v>717</v>
      </c>
      <c r="B369" s="65" t="s">
        <v>718</v>
      </c>
      <c r="C369" s="33" t="s">
        <v>37</v>
      </c>
      <c r="D369" s="66">
        <v>25</v>
      </c>
      <c r="E369" s="66">
        <v>18.8</v>
      </c>
      <c r="F369" s="66">
        <v>6.2</v>
      </c>
      <c r="G369" s="35">
        <f t="shared" si="13"/>
        <v>0.752</v>
      </c>
      <c r="H369" s="33" t="s">
        <v>719</v>
      </c>
      <c r="I369" s="36" t="s">
        <v>18</v>
      </c>
      <c r="J369" s="37">
        <v>1</v>
      </c>
      <c r="K369" s="54">
        <v>0</v>
      </c>
      <c r="L369" s="33" t="s">
        <v>720</v>
      </c>
      <c r="M369" s="39" t="s">
        <v>1801</v>
      </c>
    </row>
    <row r="370" spans="1:17" ht="31.5" x14ac:dyDescent="0.25">
      <c r="A370" s="151" t="s">
        <v>721</v>
      </c>
      <c r="B370" s="154" t="s">
        <v>722</v>
      </c>
      <c r="C370" s="33" t="s">
        <v>23</v>
      </c>
      <c r="D370" s="34">
        <f>SUM(D371:D375)+15.3</f>
        <v>15.3</v>
      </c>
      <c r="E370" s="34">
        <f>SUM(E371:E375)+15.2</f>
        <v>15.2</v>
      </c>
      <c r="F370" s="34">
        <f>SUM(F371:F375)+0.1</f>
        <v>0.1</v>
      </c>
      <c r="G370" s="35">
        <f t="shared" si="13"/>
        <v>0.99346405228758161</v>
      </c>
      <c r="H370" s="33" t="s">
        <v>723</v>
      </c>
      <c r="I370" s="36" t="s">
        <v>18</v>
      </c>
      <c r="J370" s="37">
        <v>3</v>
      </c>
      <c r="K370" s="38">
        <v>3</v>
      </c>
      <c r="L370" s="90" t="s">
        <v>1697</v>
      </c>
      <c r="M370" s="80" t="s">
        <v>1802</v>
      </c>
    </row>
    <row r="371" spans="1:17" ht="47.25" x14ac:dyDescent="0.25">
      <c r="A371" s="152"/>
      <c r="B371" s="155"/>
      <c r="C371" s="41"/>
      <c r="D371" s="42"/>
      <c r="E371" s="42"/>
      <c r="F371" s="42"/>
      <c r="G371" s="42"/>
      <c r="H371" s="41" t="s">
        <v>724</v>
      </c>
      <c r="I371" s="43" t="s">
        <v>18</v>
      </c>
      <c r="J371" s="44">
        <v>1</v>
      </c>
      <c r="K371" s="49">
        <v>0</v>
      </c>
      <c r="L371" s="41"/>
      <c r="M371" s="45" t="s">
        <v>1803</v>
      </c>
    </row>
    <row r="372" spans="1:17" ht="110.25" x14ac:dyDescent="0.25">
      <c r="A372" s="152"/>
      <c r="B372" s="155"/>
      <c r="C372" s="41"/>
      <c r="D372" s="42"/>
      <c r="E372" s="42"/>
      <c r="F372" s="42"/>
      <c r="G372" s="42"/>
      <c r="H372" s="41" t="s">
        <v>725</v>
      </c>
      <c r="I372" s="43" t="s">
        <v>18</v>
      </c>
      <c r="J372" s="44">
        <v>1</v>
      </c>
      <c r="K372" s="47">
        <v>1</v>
      </c>
      <c r="L372" s="41" t="s">
        <v>726</v>
      </c>
      <c r="M372" s="88"/>
    </row>
    <row r="373" spans="1:17" ht="93" customHeight="1" x14ac:dyDescent="0.25">
      <c r="A373" s="152"/>
      <c r="B373" s="155"/>
      <c r="C373" s="41"/>
      <c r="D373" s="42"/>
      <c r="E373" s="42"/>
      <c r="F373" s="42"/>
      <c r="G373" s="42"/>
      <c r="H373" s="41" t="s">
        <v>727</v>
      </c>
      <c r="I373" s="43" t="s">
        <v>18</v>
      </c>
      <c r="J373" s="44">
        <v>6</v>
      </c>
      <c r="K373" s="63">
        <v>30</v>
      </c>
      <c r="L373" s="91" t="s">
        <v>1698</v>
      </c>
      <c r="M373" s="45"/>
    </row>
    <row r="374" spans="1:17" ht="31.5" x14ac:dyDescent="0.25">
      <c r="A374" s="152"/>
      <c r="B374" s="155"/>
      <c r="C374" s="41"/>
      <c r="D374" s="42"/>
      <c r="E374" s="42"/>
      <c r="F374" s="42"/>
      <c r="G374" s="42"/>
      <c r="H374" s="41" t="s">
        <v>728</v>
      </c>
      <c r="I374" s="43" t="s">
        <v>18</v>
      </c>
      <c r="J374" s="44">
        <v>1</v>
      </c>
      <c r="K374" s="47">
        <v>1</v>
      </c>
      <c r="L374" s="41" t="s">
        <v>729</v>
      </c>
      <c r="M374" s="45"/>
    </row>
    <row r="375" spans="1:17" ht="48" thickBot="1" x14ac:dyDescent="0.3">
      <c r="A375" s="153"/>
      <c r="B375" s="156"/>
      <c r="C375" s="41"/>
      <c r="D375" s="42"/>
      <c r="E375" s="42"/>
      <c r="F375" s="42"/>
      <c r="G375" s="42"/>
      <c r="H375" s="41" t="s">
        <v>730</v>
      </c>
      <c r="I375" s="43" t="s">
        <v>18</v>
      </c>
      <c r="J375" s="44">
        <v>1</v>
      </c>
      <c r="K375" s="47">
        <v>1</v>
      </c>
      <c r="L375" s="41" t="s">
        <v>731</v>
      </c>
      <c r="M375" s="45" t="s">
        <v>1804</v>
      </c>
    </row>
    <row r="376" spans="1:17" ht="252" x14ac:dyDescent="0.25">
      <c r="A376" s="151" t="s">
        <v>732</v>
      </c>
      <c r="B376" s="154" t="s">
        <v>733</v>
      </c>
      <c r="C376" s="33"/>
      <c r="D376" s="34">
        <f>SUM(D377:D379)</f>
        <v>59.4</v>
      </c>
      <c r="E376" s="34">
        <f>SUM(E377:E379)</f>
        <v>37</v>
      </c>
      <c r="F376" s="34">
        <f>SUM(F377:F379)</f>
        <v>22.400000000000002</v>
      </c>
      <c r="G376" s="53">
        <f t="shared" ref="G376:G389" si="14">SUM(E376/D376)</f>
        <v>0.62289562289562295</v>
      </c>
      <c r="H376" s="33" t="s">
        <v>734</v>
      </c>
      <c r="I376" s="36" t="s">
        <v>18</v>
      </c>
      <c r="J376" s="37">
        <v>6</v>
      </c>
      <c r="K376" s="38">
        <v>6</v>
      </c>
      <c r="L376" s="33" t="s">
        <v>735</v>
      </c>
      <c r="M376" s="39" t="s">
        <v>1805</v>
      </c>
    </row>
    <row r="377" spans="1:17" x14ac:dyDescent="0.25">
      <c r="A377" s="152"/>
      <c r="B377" s="155"/>
      <c r="C377" s="41" t="s">
        <v>189</v>
      </c>
      <c r="D377" s="42">
        <v>5</v>
      </c>
      <c r="E377" s="42">
        <v>5</v>
      </c>
      <c r="F377" s="42"/>
      <c r="G377" s="57">
        <f t="shared" si="14"/>
        <v>1</v>
      </c>
      <c r="H377" s="58"/>
      <c r="I377" s="43"/>
      <c r="J377" s="44"/>
      <c r="K377" s="44"/>
      <c r="L377" s="41"/>
      <c r="M377" s="45"/>
    </row>
    <row r="378" spans="1:17" x14ac:dyDescent="0.25">
      <c r="A378" s="152"/>
      <c r="B378" s="155"/>
      <c r="C378" s="41" t="s">
        <v>37</v>
      </c>
      <c r="D378" s="42">
        <v>2.1</v>
      </c>
      <c r="E378" s="42"/>
      <c r="F378" s="42">
        <v>2.1</v>
      </c>
      <c r="G378" s="57">
        <f t="shared" si="14"/>
        <v>0</v>
      </c>
      <c r="H378" s="58"/>
      <c r="I378" s="43"/>
      <c r="J378" s="44"/>
      <c r="K378" s="44"/>
      <c r="L378" s="41"/>
      <c r="M378" s="45"/>
    </row>
    <row r="379" spans="1:17" ht="16.5" thickBot="1" x14ac:dyDescent="0.3">
      <c r="A379" s="153"/>
      <c r="B379" s="156"/>
      <c r="C379" s="41" t="s">
        <v>23</v>
      </c>
      <c r="D379" s="42">
        <v>52.3</v>
      </c>
      <c r="E379" s="42">
        <v>32</v>
      </c>
      <c r="F379" s="42">
        <v>20.3</v>
      </c>
      <c r="G379" s="61">
        <f t="shared" si="14"/>
        <v>0.6118546845124283</v>
      </c>
      <c r="H379" s="41"/>
      <c r="I379" s="43"/>
      <c r="J379" s="44"/>
      <c r="K379" s="44"/>
      <c r="L379" s="41"/>
      <c r="M379" s="45"/>
    </row>
    <row r="380" spans="1:17" ht="32.25" thickBot="1" x14ac:dyDescent="0.3">
      <c r="A380" s="10" t="s">
        <v>736</v>
      </c>
      <c r="B380" s="11" t="s">
        <v>737</v>
      </c>
      <c r="C380" s="12"/>
      <c r="D380" s="13">
        <f>SUM(D381:D381)</f>
        <v>2067.8999999999996</v>
      </c>
      <c r="E380" s="13">
        <f>SUM(E381:E381)</f>
        <v>1329.6</v>
      </c>
      <c r="F380" s="13">
        <f>SUM(F381:F381)</f>
        <v>738.3</v>
      </c>
      <c r="G380" s="14">
        <f t="shared" si="14"/>
        <v>0.64297113013201801</v>
      </c>
      <c r="H380" s="126"/>
      <c r="I380" s="127"/>
      <c r="J380" s="127"/>
      <c r="K380" s="127"/>
      <c r="L380" s="127"/>
      <c r="M380" s="128"/>
      <c r="O380" s="23"/>
      <c r="P380" s="24" t="s">
        <v>1</v>
      </c>
      <c r="Q380" s="24" t="s">
        <v>1928</v>
      </c>
    </row>
    <row r="381" spans="1:17" ht="79.5" thickBot="1" x14ac:dyDescent="0.3">
      <c r="A381" s="15" t="s">
        <v>738</v>
      </c>
      <c r="B381" s="16" t="s">
        <v>739</v>
      </c>
      <c r="C381" s="17"/>
      <c r="D381" s="18">
        <f>D382+D388+D397</f>
        <v>2067.8999999999996</v>
      </c>
      <c r="E381" s="18">
        <f>E382+E388+E397+0.1</f>
        <v>1329.6</v>
      </c>
      <c r="F381" s="18">
        <f>F382+F388+F397</f>
        <v>738.3</v>
      </c>
      <c r="G381" s="19">
        <f t="shared" si="14"/>
        <v>0.64297113013201801</v>
      </c>
      <c r="H381" s="17" t="s">
        <v>740</v>
      </c>
      <c r="I381" s="20" t="s">
        <v>27</v>
      </c>
      <c r="J381" s="21">
        <v>70</v>
      </c>
      <c r="K381" s="21">
        <v>75</v>
      </c>
      <c r="L381" s="17"/>
      <c r="M381" s="22"/>
      <c r="O381" s="30"/>
      <c r="P381" s="31" t="s">
        <v>1712</v>
      </c>
      <c r="Q381" s="32">
        <v>10</v>
      </c>
    </row>
    <row r="382" spans="1:17" ht="79.5" thickBot="1" x14ac:dyDescent="0.3">
      <c r="A382" s="25" t="s">
        <v>741</v>
      </c>
      <c r="B382" s="26" t="s">
        <v>742</v>
      </c>
      <c r="C382" s="27"/>
      <c r="D382" s="28">
        <f>D383+D386+D387</f>
        <v>62.5</v>
      </c>
      <c r="E382" s="28">
        <f>E383+E386+E387</f>
        <v>59.199999999999996</v>
      </c>
      <c r="F382" s="28">
        <f>F383+F386+F387</f>
        <v>3.3</v>
      </c>
      <c r="G382" s="29">
        <f t="shared" si="14"/>
        <v>0.94719999999999993</v>
      </c>
      <c r="H382" s="129"/>
      <c r="I382" s="130"/>
      <c r="J382" s="130"/>
      <c r="K382" s="130"/>
      <c r="L382" s="130"/>
      <c r="M382" s="131"/>
      <c r="O382" s="40"/>
      <c r="P382" s="31" t="s">
        <v>1713</v>
      </c>
      <c r="Q382" s="32"/>
    </row>
    <row r="383" spans="1:17" ht="78.75" x14ac:dyDescent="0.25">
      <c r="A383" s="151" t="s">
        <v>743</v>
      </c>
      <c r="B383" s="154" t="s">
        <v>744</v>
      </c>
      <c r="C383" s="33"/>
      <c r="D383" s="34">
        <f>SUM(D384:D385)</f>
        <v>39.4</v>
      </c>
      <c r="E383" s="34">
        <f>SUM(E384:E385)</f>
        <v>36.799999999999997</v>
      </c>
      <c r="F383" s="34">
        <f>SUM(F384:F385)</f>
        <v>2.6</v>
      </c>
      <c r="G383" s="53">
        <f t="shared" si="14"/>
        <v>0.93401015228426387</v>
      </c>
      <c r="H383" s="33" t="s">
        <v>745</v>
      </c>
      <c r="I383" s="36" t="s">
        <v>18</v>
      </c>
      <c r="J383" s="37">
        <v>100</v>
      </c>
      <c r="K383" s="60">
        <v>211</v>
      </c>
      <c r="L383" s="33" t="s">
        <v>746</v>
      </c>
      <c r="M383" s="39" t="s">
        <v>1806</v>
      </c>
      <c r="O383" s="1"/>
      <c r="P383" s="2" t="s">
        <v>1714</v>
      </c>
      <c r="Q383" s="48">
        <v>2</v>
      </c>
    </row>
    <row r="384" spans="1:17" ht="31.5" x14ac:dyDescent="0.25">
      <c r="A384" s="152"/>
      <c r="B384" s="155"/>
      <c r="C384" s="41" t="s">
        <v>37</v>
      </c>
      <c r="D384" s="42">
        <v>3.4</v>
      </c>
      <c r="E384" s="42">
        <v>3.4</v>
      </c>
      <c r="F384" s="42"/>
      <c r="G384" s="57">
        <f t="shared" si="14"/>
        <v>1</v>
      </c>
      <c r="H384" s="58"/>
      <c r="I384" s="43"/>
      <c r="J384" s="44"/>
      <c r="K384" s="44"/>
      <c r="L384" s="41"/>
      <c r="M384" s="45"/>
      <c r="O384" s="50"/>
      <c r="P384" s="31" t="s">
        <v>1716</v>
      </c>
      <c r="Q384" s="51">
        <v>1</v>
      </c>
    </row>
    <row r="385" spans="1:17" ht="32.25" thickBot="1" x14ac:dyDescent="0.3">
      <c r="A385" s="153"/>
      <c r="B385" s="156"/>
      <c r="C385" s="41" t="s">
        <v>23</v>
      </c>
      <c r="D385" s="42">
        <v>36</v>
      </c>
      <c r="E385" s="42">
        <v>33.4</v>
      </c>
      <c r="F385" s="42">
        <v>2.6</v>
      </c>
      <c r="G385" s="61">
        <f t="shared" si="14"/>
        <v>0.9277777777777777</v>
      </c>
      <c r="H385" s="41"/>
      <c r="I385" s="43"/>
      <c r="J385" s="44"/>
      <c r="K385" s="44"/>
      <c r="L385" s="41"/>
      <c r="M385" s="45"/>
      <c r="O385" s="52"/>
      <c r="P385" s="31" t="s">
        <v>1717</v>
      </c>
      <c r="Q385" s="48">
        <v>1</v>
      </c>
    </row>
    <row r="386" spans="1:17" ht="48" thickBot="1" x14ac:dyDescent="0.3">
      <c r="A386" s="64" t="s">
        <v>747</v>
      </c>
      <c r="B386" s="65" t="s">
        <v>748</v>
      </c>
      <c r="C386" s="33" t="s">
        <v>23</v>
      </c>
      <c r="D386" s="66">
        <v>11</v>
      </c>
      <c r="E386" s="66">
        <v>10.3</v>
      </c>
      <c r="F386" s="66">
        <v>0.7</v>
      </c>
      <c r="G386" s="35">
        <f t="shared" si="14"/>
        <v>0.9363636363636364</v>
      </c>
      <c r="H386" s="33" t="s">
        <v>749</v>
      </c>
      <c r="I386" s="36" t="s">
        <v>27</v>
      </c>
      <c r="J386" s="37">
        <v>100</v>
      </c>
      <c r="K386" s="38">
        <v>100</v>
      </c>
      <c r="L386" s="33" t="s">
        <v>750</v>
      </c>
      <c r="M386" s="39" t="s">
        <v>1807</v>
      </c>
      <c r="O386" s="23"/>
      <c r="P386" s="55" t="s">
        <v>1715</v>
      </c>
      <c r="Q386" s="48">
        <f>+SUM(Q381:Q385)</f>
        <v>14</v>
      </c>
    </row>
    <row r="387" spans="1:17" ht="158.25" thickBot="1" x14ac:dyDescent="0.3">
      <c r="A387" s="64" t="s">
        <v>751</v>
      </c>
      <c r="B387" s="65" t="s">
        <v>752</v>
      </c>
      <c r="C387" s="33" t="s">
        <v>23</v>
      </c>
      <c r="D387" s="66">
        <v>12.1</v>
      </c>
      <c r="E387" s="66">
        <v>12.1</v>
      </c>
      <c r="F387" s="66"/>
      <c r="G387" s="35">
        <f t="shared" si="14"/>
        <v>1</v>
      </c>
      <c r="H387" s="33" t="s">
        <v>753</v>
      </c>
      <c r="I387" s="36" t="s">
        <v>18</v>
      </c>
      <c r="J387" s="37">
        <v>5</v>
      </c>
      <c r="K387" s="38">
        <v>5</v>
      </c>
      <c r="L387" s="33" t="s">
        <v>754</v>
      </c>
      <c r="M387" s="39" t="s">
        <v>1808</v>
      </c>
    </row>
    <row r="388" spans="1:17" ht="79.5" thickBot="1" x14ac:dyDescent="0.3">
      <c r="A388" s="25" t="s">
        <v>755</v>
      </c>
      <c r="B388" s="26" t="s">
        <v>756</v>
      </c>
      <c r="C388" s="27"/>
      <c r="D388" s="28">
        <f>D389+D391+D392+D393+D395+D396</f>
        <v>783</v>
      </c>
      <c r="E388" s="28">
        <f>E389+E391+E392+E393+E395+E396-0.1</f>
        <v>777.3</v>
      </c>
      <c r="F388" s="28">
        <f>F389+F391+F392+F393+F395+F396+0.1</f>
        <v>5.6999999999999993</v>
      </c>
      <c r="G388" s="29">
        <f t="shared" si="14"/>
        <v>0.99272030651340992</v>
      </c>
      <c r="H388" s="129"/>
      <c r="I388" s="130"/>
      <c r="J388" s="130"/>
      <c r="K388" s="130"/>
      <c r="L388" s="130"/>
      <c r="M388" s="131"/>
    </row>
    <row r="389" spans="1:17" ht="120" customHeight="1" x14ac:dyDescent="0.25">
      <c r="A389" s="151" t="s">
        <v>757</v>
      </c>
      <c r="B389" s="154" t="s">
        <v>758</v>
      </c>
      <c r="C389" s="33" t="s">
        <v>23</v>
      </c>
      <c r="D389" s="34">
        <f>SUM(D390:D390)+226.7</f>
        <v>226.7</v>
      </c>
      <c r="E389" s="34">
        <f>SUM(E390:E390)+226.7</f>
        <v>226.7</v>
      </c>
      <c r="F389" s="34"/>
      <c r="G389" s="35">
        <f t="shared" si="14"/>
        <v>1</v>
      </c>
      <c r="H389" s="33" t="s">
        <v>759</v>
      </c>
      <c r="I389" s="36" t="s">
        <v>27</v>
      </c>
      <c r="J389" s="37">
        <v>100</v>
      </c>
      <c r="K389" s="38">
        <v>100</v>
      </c>
      <c r="L389" s="33"/>
      <c r="M389" s="39" t="s">
        <v>764</v>
      </c>
    </row>
    <row r="390" spans="1:17" ht="16.5" thickBot="1" x14ac:dyDescent="0.3">
      <c r="A390" s="153"/>
      <c r="B390" s="156"/>
      <c r="C390" s="41"/>
      <c r="D390" s="42"/>
      <c r="E390" s="42"/>
      <c r="F390" s="42"/>
      <c r="G390" s="42"/>
      <c r="H390" s="41" t="s">
        <v>760</v>
      </c>
      <c r="I390" s="43" t="s">
        <v>18</v>
      </c>
      <c r="J390" s="44">
        <v>3</v>
      </c>
      <c r="K390" s="49">
        <v>0</v>
      </c>
      <c r="L390" s="41"/>
      <c r="M390" s="45" t="s">
        <v>1809</v>
      </c>
    </row>
    <row r="391" spans="1:17" ht="79.5" thickBot="1" x14ac:dyDescent="0.3">
      <c r="A391" s="64" t="s">
        <v>761</v>
      </c>
      <c r="B391" s="65" t="s">
        <v>762</v>
      </c>
      <c r="C391" s="33" t="s">
        <v>23</v>
      </c>
      <c r="D391" s="66">
        <v>9.5</v>
      </c>
      <c r="E391" s="66">
        <v>5.7</v>
      </c>
      <c r="F391" s="66">
        <v>3.8</v>
      </c>
      <c r="G391" s="35">
        <f>SUM(E391/D391)</f>
        <v>0.6</v>
      </c>
      <c r="H391" s="33" t="s">
        <v>763</v>
      </c>
      <c r="I391" s="36" t="s">
        <v>27</v>
      </c>
      <c r="J391" s="37">
        <v>100</v>
      </c>
      <c r="K391" s="38">
        <v>100</v>
      </c>
      <c r="L391" s="33" t="s">
        <v>764</v>
      </c>
      <c r="M391" s="39" t="s">
        <v>1810</v>
      </c>
    </row>
    <row r="392" spans="1:17" ht="79.5" thickBot="1" x14ac:dyDescent="0.3">
      <c r="A392" s="64" t="s">
        <v>765</v>
      </c>
      <c r="B392" s="65" t="s">
        <v>766</v>
      </c>
      <c r="C392" s="33" t="s">
        <v>23</v>
      </c>
      <c r="D392" s="66">
        <v>1</v>
      </c>
      <c r="E392" s="66">
        <v>0.7</v>
      </c>
      <c r="F392" s="66">
        <v>0.3</v>
      </c>
      <c r="G392" s="35">
        <f>SUM(E392/D392)</f>
        <v>0.7</v>
      </c>
      <c r="H392" s="33" t="s">
        <v>767</v>
      </c>
      <c r="I392" s="36" t="s">
        <v>18</v>
      </c>
      <c r="J392" s="37">
        <v>5</v>
      </c>
      <c r="K392" s="38">
        <v>5</v>
      </c>
      <c r="L392" s="33" t="s">
        <v>768</v>
      </c>
      <c r="M392" s="39" t="s">
        <v>1811</v>
      </c>
    </row>
    <row r="393" spans="1:17" ht="141.75" x14ac:dyDescent="0.25">
      <c r="A393" s="151" t="s">
        <v>769</v>
      </c>
      <c r="B393" s="154" t="s">
        <v>770</v>
      </c>
      <c r="C393" s="33" t="s">
        <v>23</v>
      </c>
      <c r="D393" s="34">
        <f>SUM(D394:D394)+200.6</f>
        <v>200.6</v>
      </c>
      <c r="E393" s="34">
        <f>SUM(E394:E394)+200.6</f>
        <v>200.6</v>
      </c>
      <c r="F393" s="34"/>
      <c r="G393" s="35">
        <f>SUM(E393/D393)</f>
        <v>1</v>
      </c>
      <c r="H393" s="33" t="s">
        <v>771</v>
      </c>
      <c r="I393" s="36" t="s">
        <v>18</v>
      </c>
      <c r="J393" s="37">
        <v>1</v>
      </c>
      <c r="K393" s="54">
        <v>0</v>
      </c>
      <c r="L393" s="33" t="s">
        <v>772</v>
      </c>
      <c r="M393" s="39" t="s">
        <v>1812</v>
      </c>
    </row>
    <row r="394" spans="1:17" ht="32.25" thickBot="1" x14ac:dyDescent="0.3">
      <c r="A394" s="153"/>
      <c r="B394" s="156"/>
      <c r="C394" s="41"/>
      <c r="D394" s="42"/>
      <c r="E394" s="42"/>
      <c r="F394" s="42"/>
      <c r="G394" s="42"/>
      <c r="H394" s="41" t="s">
        <v>773</v>
      </c>
      <c r="I394" s="43" t="s">
        <v>27</v>
      </c>
      <c r="J394" s="44">
        <v>100</v>
      </c>
      <c r="K394" s="47">
        <v>100</v>
      </c>
      <c r="L394" s="41"/>
      <c r="M394" s="45"/>
    </row>
    <row r="395" spans="1:17" ht="142.5" thickBot="1" x14ac:dyDescent="0.3">
      <c r="A395" s="64" t="s">
        <v>774</v>
      </c>
      <c r="B395" s="65" t="s">
        <v>775</v>
      </c>
      <c r="C395" s="33" t="s">
        <v>23</v>
      </c>
      <c r="D395" s="66">
        <v>343.2</v>
      </c>
      <c r="E395" s="66">
        <v>342.6</v>
      </c>
      <c r="F395" s="66">
        <v>0.6</v>
      </c>
      <c r="G395" s="35">
        <f t="shared" ref="G395:G407" si="15">SUM(E395/D395)</f>
        <v>0.99825174825174834</v>
      </c>
      <c r="H395" s="33" t="s">
        <v>776</v>
      </c>
      <c r="I395" s="36" t="s">
        <v>27</v>
      </c>
      <c r="J395" s="37">
        <v>100</v>
      </c>
      <c r="K395" s="38">
        <v>100</v>
      </c>
      <c r="L395" s="33"/>
      <c r="M395" s="39" t="s">
        <v>764</v>
      </c>
    </row>
    <row r="396" spans="1:17" ht="48" thickBot="1" x14ac:dyDescent="0.3">
      <c r="A396" s="64" t="s">
        <v>777</v>
      </c>
      <c r="B396" s="65" t="s">
        <v>778</v>
      </c>
      <c r="C396" s="33" t="s">
        <v>23</v>
      </c>
      <c r="D396" s="66">
        <v>2</v>
      </c>
      <c r="E396" s="66">
        <v>1.1000000000000001</v>
      </c>
      <c r="F396" s="66">
        <v>0.9</v>
      </c>
      <c r="G396" s="35">
        <f t="shared" si="15"/>
        <v>0.55000000000000004</v>
      </c>
      <c r="H396" s="33" t="s">
        <v>779</v>
      </c>
      <c r="I396" s="36" t="s">
        <v>27</v>
      </c>
      <c r="J396" s="37">
        <v>100</v>
      </c>
      <c r="K396" s="38">
        <v>100</v>
      </c>
      <c r="L396" s="33" t="s">
        <v>780</v>
      </c>
      <c r="M396" s="39" t="s">
        <v>1813</v>
      </c>
    </row>
    <row r="397" spans="1:17" ht="48" thickBot="1" x14ac:dyDescent="0.3">
      <c r="A397" s="25" t="s">
        <v>781</v>
      </c>
      <c r="B397" s="26" t="s">
        <v>782</v>
      </c>
      <c r="C397" s="27"/>
      <c r="D397" s="28">
        <f>D398+D399+D403+D404+D405+0.1</f>
        <v>1222.3999999999999</v>
      </c>
      <c r="E397" s="28">
        <f>E398+E399+E403+E404+E405-0.1</f>
        <v>492.99999999999994</v>
      </c>
      <c r="F397" s="28">
        <f>F398+F399+F403+F404+F405+0.1</f>
        <v>729.3</v>
      </c>
      <c r="G397" s="29">
        <f t="shared" si="15"/>
        <v>0.40330497382198954</v>
      </c>
      <c r="H397" s="129"/>
      <c r="I397" s="130"/>
      <c r="J397" s="130"/>
      <c r="K397" s="130"/>
      <c r="L397" s="130"/>
      <c r="M397" s="131"/>
    </row>
    <row r="398" spans="1:17" ht="66" customHeight="1" thickBot="1" x14ac:dyDescent="0.3">
      <c r="A398" s="64" t="s">
        <v>783</v>
      </c>
      <c r="B398" s="65" t="s">
        <v>784</v>
      </c>
      <c r="C398" s="33" t="s">
        <v>37</v>
      </c>
      <c r="D398" s="66">
        <v>155.19999999999999</v>
      </c>
      <c r="E398" s="66">
        <v>0</v>
      </c>
      <c r="F398" s="66">
        <v>155.19999999999999</v>
      </c>
      <c r="G398" s="35">
        <f t="shared" si="15"/>
        <v>0</v>
      </c>
      <c r="H398" s="33" t="s">
        <v>785</v>
      </c>
      <c r="I398" s="36" t="s">
        <v>18</v>
      </c>
      <c r="J398" s="37">
        <v>3</v>
      </c>
      <c r="K398" s="54">
        <v>0</v>
      </c>
      <c r="L398" s="33" t="s">
        <v>786</v>
      </c>
      <c r="M398" s="39" t="s">
        <v>1814</v>
      </c>
    </row>
    <row r="399" spans="1:17" ht="94.5" x14ac:dyDescent="0.25">
      <c r="A399" s="151" t="s">
        <v>787</v>
      </c>
      <c r="B399" s="154" t="s">
        <v>788</v>
      </c>
      <c r="C399" s="33"/>
      <c r="D399" s="34">
        <f>SUM(D400:D402)</f>
        <v>1005.5</v>
      </c>
      <c r="E399" s="34">
        <f>SUM(E400:E402)-0.1</f>
        <v>433.59999999999997</v>
      </c>
      <c r="F399" s="34">
        <f>SUM(F400:F402)</f>
        <v>571.9</v>
      </c>
      <c r="G399" s="53">
        <f t="shared" si="15"/>
        <v>0.43122824465440074</v>
      </c>
      <c r="H399" s="33" t="s">
        <v>785</v>
      </c>
      <c r="I399" s="36" t="s">
        <v>340</v>
      </c>
      <c r="J399" s="37">
        <v>10</v>
      </c>
      <c r="K399" s="38">
        <v>10</v>
      </c>
      <c r="L399" s="33" t="s">
        <v>789</v>
      </c>
      <c r="M399" s="39" t="s">
        <v>1815</v>
      </c>
    </row>
    <row r="400" spans="1:17" x14ac:dyDescent="0.25">
      <c r="A400" s="152"/>
      <c r="B400" s="155"/>
      <c r="C400" s="41" t="s">
        <v>37</v>
      </c>
      <c r="D400" s="42">
        <v>236.1</v>
      </c>
      <c r="E400" s="42">
        <v>220.5</v>
      </c>
      <c r="F400" s="42">
        <v>15.7</v>
      </c>
      <c r="G400" s="57">
        <f t="shared" si="15"/>
        <v>0.93392630241423125</v>
      </c>
      <c r="H400" s="58"/>
      <c r="I400" s="43"/>
      <c r="J400" s="44"/>
      <c r="K400" s="44"/>
      <c r="L400" s="41"/>
      <c r="M400" s="45"/>
    </row>
    <row r="401" spans="1:17" x14ac:dyDescent="0.25">
      <c r="A401" s="152"/>
      <c r="B401" s="155"/>
      <c r="C401" s="41" t="s">
        <v>208</v>
      </c>
      <c r="D401" s="42">
        <v>654</v>
      </c>
      <c r="E401" s="42">
        <v>185.4</v>
      </c>
      <c r="F401" s="42">
        <v>468.6</v>
      </c>
      <c r="G401" s="57">
        <f t="shared" si="15"/>
        <v>0.28348623853211008</v>
      </c>
      <c r="H401" s="58"/>
      <c r="I401" s="43"/>
      <c r="J401" s="44"/>
      <c r="K401" s="44"/>
      <c r="L401" s="41"/>
      <c r="M401" s="45"/>
    </row>
    <row r="402" spans="1:17" ht="16.5" thickBot="1" x14ac:dyDescent="0.3">
      <c r="A402" s="153"/>
      <c r="B402" s="156"/>
      <c r="C402" s="41" t="s">
        <v>78</v>
      </c>
      <c r="D402" s="42">
        <v>115.4</v>
      </c>
      <c r="E402" s="42">
        <v>27.8</v>
      </c>
      <c r="F402" s="42">
        <v>87.6</v>
      </c>
      <c r="G402" s="61">
        <f t="shared" si="15"/>
        <v>0.24090121317157712</v>
      </c>
      <c r="H402" s="41"/>
      <c r="I402" s="43"/>
      <c r="J402" s="44"/>
      <c r="K402" s="44"/>
      <c r="L402" s="41"/>
      <c r="M402" s="45"/>
    </row>
    <row r="403" spans="1:17" ht="63.75" thickBot="1" x14ac:dyDescent="0.3">
      <c r="A403" s="64" t="s">
        <v>790</v>
      </c>
      <c r="B403" s="65" t="s">
        <v>791</v>
      </c>
      <c r="C403" s="33" t="s">
        <v>792</v>
      </c>
      <c r="D403" s="66">
        <v>46.8</v>
      </c>
      <c r="E403" s="66">
        <v>45.4</v>
      </c>
      <c r="F403" s="66">
        <v>1.4</v>
      </c>
      <c r="G403" s="35">
        <f t="shared" si="15"/>
        <v>0.97008547008547008</v>
      </c>
      <c r="H403" s="33" t="s">
        <v>749</v>
      </c>
      <c r="I403" s="36" t="s">
        <v>27</v>
      </c>
      <c r="J403" s="37">
        <v>100</v>
      </c>
      <c r="K403" s="38">
        <v>100</v>
      </c>
      <c r="L403" s="33" t="s">
        <v>793</v>
      </c>
      <c r="M403" s="39" t="s">
        <v>1816</v>
      </c>
    </row>
    <row r="404" spans="1:17" ht="79.5" thickBot="1" x14ac:dyDescent="0.3">
      <c r="A404" s="64" t="s">
        <v>794</v>
      </c>
      <c r="B404" s="65" t="s">
        <v>795</v>
      </c>
      <c r="C404" s="33" t="s">
        <v>186</v>
      </c>
      <c r="D404" s="66">
        <v>0.8</v>
      </c>
      <c r="E404" s="66">
        <v>0.1</v>
      </c>
      <c r="F404" s="66">
        <v>0.7</v>
      </c>
      <c r="G404" s="35">
        <f t="shared" si="15"/>
        <v>0.125</v>
      </c>
      <c r="H404" s="33" t="s">
        <v>749</v>
      </c>
      <c r="I404" s="36" t="s">
        <v>27</v>
      </c>
      <c r="J404" s="37">
        <v>100</v>
      </c>
      <c r="K404" s="38">
        <v>100</v>
      </c>
      <c r="L404" s="33"/>
      <c r="M404" s="39" t="s">
        <v>1817</v>
      </c>
    </row>
    <row r="405" spans="1:17" ht="48" thickBot="1" x14ac:dyDescent="0.3">
      <c r="A405" s="64" t="s">
        <v>796</v>
      </c>
      <c r="B405" s="65" t="s">
        <v>797</v>
      </c>
      <c r="C405" s="33" t="s">
        <v>23</v>
      </c>
      <c r="D405" s="66">
        <v>14</v>
      </c>
      <c r="E405" s="66">
        <v>14</v>
      </c>
      <c r="F405" s="66"/>
      <c r="G405" s="35">
        <f t="shared" si="15"/>
        <v>1</v>
      </c>
      <c r="H405" s="33" t="s">
        <v>798</v>
      </c>
      <c r="I405" s="36" t="s">
        <v>340</v>
      </c>
      <c r="J405" s="37">
        <v>28</v>
      </c>
      <c r="K405" s="38">
        <v>28</v>
      </c>
      <c r="L405" s="33" t="s">
        <v>799</v>
      </c>
      <c r="M405" s="39"/>
    </row>
    <row r="406" spans="1:17" ht="24.75" customHeight="1" thickBot="1" x14ac:dyDescent="0.3">
      <c r="A406" s="10" t="s">
        <v>800</v>
      </c>
      <c r="B406" s="11" t="s">
        <v>801</v>
      </c>
      <c r="C406" s="12"/>
      <c r="D406" s="13">
        <f>SUM(D407:D407)</f>
        <v>10367.299999999999</v>
      </c>
      <c r="E406" s="13">
        <f>SUM(E407:E407)</f>
        <v>8059.2999999999993</v>
      </c>
      <c r="F406" s="13">
        <f>SUM(F407:F407)</f>
        <v>2308</v>
      </c>
      <c r="G406" s="14">
        <f t="shared" si="15"/>
        <v>0.77737694481687614</v>
      </c>
      <c r="H406" s="126"/>
      <c r="I406" s="127"/>
      <c r="J406" s="127"/>
      <c r="K406" s="127"/>
      <c r="L406" s="127"/>
      <c r="M406" s="128"/>
      <c r="O406" s="23"/>
      <c r="P406" s="24" t="s">
        <v>1</v>
      </c>
      <c r="Q406" s="24" t="s">
        <v>1929</v>
      </c>
    </row>
    <row r="407" spans="1:17" ht="90" customHeight="1" x14ac:dyDescent="0.25">
      <c r="A407" s="157" t="s">
        <v>802</v>
      </c>
      <c r="B407" s="160" t="s">
        <v>803</v>
      </c>
      <c r="C407" s="17"/>
      <c r="D407" s="18">
        <f>D408+D409+D443+D451</f>
        <v>10367.299999999999</v>
      </c>
      <c r="E407" s="18">
        <f>E408+E409+E443+E451</f>
        <v>8059.2999999999993</v>
      </c>
      <c r="F407" s="18">
        <f>F408+F409+F443+F451</f>
        <v>2308</v>
      </c>
      <c r="G407" s="19">
        <f t="shared" si="15"/>
        <v>0.77737694481687614</v>
      </c>
      <c r="H407" s="17" t="s">
        <v>804</v>
      </c>
      <c r="I407" s="20" t="s">
        <v>340</v>
      </c>
      <c r="J407" s="21">
        <v>65</v>
      </c>
      <c r="K407" s="21">
        <v>65</v>
      </c>
      <c r="L407" s="17" t="s">
        <v>805</v>
      </c>
      <c r="M407" s="22"/>
      <c r="O407" s="30"/>
      <c r="P407" s="31" t="s">
        <v>1712</v>
      </c>
      <c r="Q407" s="32">
        <v>5</v>
      </c>
    </row>
    <row r="408" spans="1:17" ht="32.25" thickBot="1" x14ac:dyDescent="0.3">
      <c r="A408" s="159"/>
      <c r="B408" s="162"/>
      <c r="C408" s="67"/>
      <c r="D408" s="68"/>
      <c r="E408" s="68"/>
      <c r="F408" s="68"/>
      <c r="G408" s="68"/>
      <c r="H408" s="67" t="s">
        <v>806</v>
      </c>
      <c r="I408" s="69" t="s">
        <v>340</v>
      </c>
      <c r="J408" s="70">
        <v>18</v>
      </c>
      <c r="K408" s="70">
        <v>18</v>
      </c>
      <c r="L408" s="67"/>
      <c r="M408" s="71"/>
      <c r="O408" s="40"/>
      <c r="P408" s="31" t="s">
        <v>1713</v>
      </c>
      <c r="Q408" s="32"/>
    </row>
    <row r="409" spans="1:17" ht="48" thickBot="1" x14ac:dyDescent="0.3">
      <c r="A409" s="25" t="s">
        <v>807</v>
      </c>
      <c r="B409" s="26" t="s">
        <v>808</v>
      </c>
      <c r="C409" s="27"/>
      <c r="D409" s="28">
        <f>D410+D418+D423+D426+D429+D437</f>
        <v>7965.1</v>
      </c>
      <c r="E409" s="28">
        <f>E410+E418+E423+E426+E429+E437-0.1</f>
        <v>7686.0999999999995</v>
      </c>
      <c r="F409" s="28">
        <f>F410+F418+F423+F426+F429+F437+0.1</f>
        <v>279</v>
      </c>
      <c r="G409" s="29">
        <f>SUM(E409/D409)</f>
        <v>0.96497219118404032</v>
      </c>
      <c r="H409" s="129"/>
      <c r="I409" s="130"/>
      <c r="J409" s="130"/>
      <c r="K409" s="130"/>
      <c r="L409" s="130"/>
      <c r="M409" s="131"/>
      <c r="O409" s="1"/>
      <c r="P409" s="2" t="s">
        <v>1714</v>
      </c>
      <c r="Q409" s="48">
        <v>2</v>
      </c>
    </row>
    <row r="410" spans="1:17" ht="165" customHeight="1" x14ac:dyDescent="0.25">
      <c r="A410" s="163" t="s">
        <v>809</v>
      </c>
      <c r="B410" s="154" t="s">
        <v>810</v>
      </c>
      <c r="C410" s="33" t="s">
        <v>23</v>
      </c>
      <c r="D410" s="34">
        <f>SUM(D411:D417)+115.8</f>
        <v>115.8</v>
      </c>
      <c r="E410" s="34">
        <f>SUM(E411:E417)+115.8</f>
        <v>115.8</v>
      </c>
      <c r="F410" s="34"/>
      <c r="G410" s="35">
        <f>SUM(E410/D410)</f>
        <v>1</v>
      </c>
      <c r="H410" s="33" t="s">
        <v>811</v>
      </c>
      <c r="I410" s="36" t="s">
        <v>340</v>
      </c>
      <c r="J410" s="37">
        <v>250</v>
      </c>
      <c r="K410" s="60">
        <v>259</v>
      </c>
      <c r="L410" s="33" t="s">
        <v>812</v>
      </c>
      <c r="M410" s="39"/>
      <c r="O410" s="50"/>
      <c r="P410" s="31" t="s">
        <v>1716</v>
      </c>
      <c r="Q410" s="51">
        <v>5</v>
      </c>
    </row>
    <row r="411" spans="1:17" ht="94.5" x14ac:dyDescent="0.25">
      <c r="A411" s="164"/>
      <c r="B411" s="155"/>
      <c r="C411" s="41"/>
      <c r="D411" s="42"/>
      <c r="E411" s="42"/>
      <c r="F411" s="42"/>
      <c r="G411" s="42"/>
      <c r="H411" s="41" t="s">
        <v>813</v>
      </c>
      <c r="I411" s="43" t="s">
        <v>340</v>
      </c>
      <c r="J411" s="44">
        <v>555</v>
      </c>
      <c r="K411" s="72">
        <v>428</v>
      </c>
      <c r="L411" s="41" t="s">
        <v>814</v>
      </c>
      <c r="M411" s="45"/>
      <c r="O411" s="52"/>
      <c r="P411" s="31" t="s">
        <v>1717</v>
      </c>
      <c r="Q411" s="48"/>
    </row>
    <row r="412" spans="1:17" ht="110.25" x14ac:dyDescent="0.25">
      <c r="A412" s="164"/>
      <c r="B412" s="155"/>
      <c r="C412" s="41"/>
      <c r="D412" s="42"/>
      <c r="E412" s="42"/>
      <c r="F412" s="42"/>
      <c r="G412" s="42"/>
      <c r="H412" s="41" t="s">
        <v>815</v>
      </c>
      <c r="I412" s="43" t="s">
        <v>340</v>
      </c>
      <c r="J412" s="44">
        <v>35</v>
      </c>
      <c r="K412" s="72">
        <v>21</v>
      </c>
      <c r="L412" s="41" t="s">
        <v>816</v>
      </c>
      <c r="M412" s="45"/>
      <c r="O412" s="23"/>
      <c r="P412" s="55" t="s">
        <v>1715</v>
      </c>
      <c r="Q412" s="48">
        <f>+SUM(Q407:Q411)</f>
        <v>12</v>
      </c>
    </row>
    <row r="413" spans="1:17" ht="126" x14ac:dyDescent="0.25">
      <c r="A413" s="164"/>
      <c r="B413" s="155"/>
      <c r="C413" s="41"/>
      <c r="D413" s="42"/>
      <c r="E413" s="42"/>
      <c r="F413" s="42"/>
      <c r="G413" s="42"/>
      <c r="H413" s="41" t="s">
        <v>817</v>
      </c>
      <c r="I413" s="43" t="s">
        <v>340</v>
      </c>
      <c r="J413" s="44">
        <v>23</v>
      </c>
      <c r="K413" s="63">
        <v>67</v>
      </c>
      <c r="L413" s="41" t="s">
        <v>818</v>
      </c>
      <c r="M413" s="45"/>
    </row>
    <row r="414" spans="1:17" ht="78.75" x14ac:dyDescent="0.25">
      <c r="A414" s="164"/>
      <c r="B414" s="155"/>
      <c r="C414" s="41"/>
      <c r="D414" s="42"/>
      <c r="E414" s="42"/>
      <c r="F414" s="42"/>
      <c r="G414" s="42"/>
      <c r="H414" s="41" t="s">
        <v>819</v>
      </c>
      <c r="I414" s="43" t="s">
        <v>340</v>
      </c>
      <c r="J414" s="44">
        <v>29</v>
      </c>
      <c r="K414" s="63">
        <v>36</v>
      </c>
      <c r="L414" s="41" t="s">
        <v>820</v>
      </c>
      <c r="M414" s="45"/>
    </row>
    <row r="415" spans="1:17" ht="47.25" x14ac:dyDescent="0.25">
      <c r="A415" s="164"/>
      <c r="B415" s="155"/>
      <c r="C415" s="41"/>
      <c r="D415" s="42"/>
      <c r="E415" s="42"/>
      <c r="F415" s="42"/>
      <c r="G415" s="42"/>
      <c r="H415" s="41" t="s">
        <v>821</v>
      </c>
      <c r="I415" s="43" t="s">
        <v>340</v>
      </c>
      <c r="J415" s="44">
        <v>22</v>
      </c>
      <c r="K415" s="63">
        <v>120</v>
      </c>
      <c r="L415" s="41" t="s">
        <v>822</v>
      </c>
      <c r="M415" s="45"/>
    </row>
    <row r="416" spans="1:17" ht="63" x14ac:dyDescent="0.25">
      <c r="A416" s="164"/>
      <c r="B416" s="155"/>
      <c r="C416" s="41"/>
      <c r="D416" s="42"/>
      <c r="E416" s="42"/>
      <c r="F416" s="42"/>
      <c r="G416" s="42"/>
      <c r="H416" s="41" t="s">
        <v>823</v>
      </c>
      <c r="I416" s="43" t="s">
        <v>340</v>
      </c>
      <c r="J416" s="44">
        <v>61</v>
      </c>
      <c r="K416" s="63">
        <v>190</v>
      </c>
      <c r="L416" s="41" t="s">
        <v>824</v>
      </c>
      <c r="M416" s="45"/>
    </row>
    <row r="417" spans="1:13" ht="63.75" thickBot="1" x14ac:dyDescent="0.3">
      <c r="A417" s="165"/>
      <c r="B417" s="156"/>
      <c r="C417" s="41"/>
      <c r="D417" s="42"/>
      <c r="E417" s="42"/>
      <c r="F417" s="42"/>
      <c r="G417" s="42"/>
      <c r="H417" s="41" t="s">
        <v>825</v>
      </c>
      <c r="I417" s="43" t="s">
        <v>340</v>
      </c>
      <c r="J417" s="44">
        <v>173</v>
      </c>
      <c r="K417" s="63">
        <v>294</v>
      </c>
      <c r="L417" s="41" t="s">
        <v>826</v>
      </c>
      <c r="M417" s="45"/>
    </row>
    <row r="418" spans="1:13" ht="393.75" x14ac:dyDescent="0.25">
      <c r="A418" s="151" t="s">
        <v>827</v>
      </c>
      <c r="B418" s="154" t="s">
        <v>828</v>
      </c>
      <c r="C418" s="33" t="s">
        <v>23</v>
      </c>
      <c r="D418" s="34">
        <f>SUM(D419:D422)+249.9</f>
        <v>249.9</v>
      </c>
      <c r="E418" s="34">
        <f>SUM(E419:E422)+249.9</f>
        <v>249.9</v>
      </c>
      <c r="F418" s="34"/>
      <c r="G418" s="35">
        <f>SUM(E418/D418)</f>
        <v>1</v>
      </c>
      <c r="H418" s="33" t="s">
        <v>829</v>
      </c>
      <c r="I418" s="36" t="s">
        <v>340</v>
      </c>
      <c r="J418" s="37">
        <v>14</v>
      </c>
      <c r="K418" s="60">
        <v>16</v>
      </c>
      <c r="L418" s="33" t="s">
        <v>830</v>
      </c>
      <c r="M418" s="39"/>
    </row>
    <row r="419" spans="1:13" ht="252" x14ac:dyDescent="0.25">
      <c r="A419" s="152"/>
      <c r="B419" s="155"/>
      <c r="C419" s="41"/>
      <c r="D419" s="42">
        <v>0</v>
      </c>
      <c r="E419" s="42">
        <v>0</v>
      </c>
      <c r="F419" s="42">
        <v>0</v>
      </c>
      <c r="G419" s="42"/>
      <c r="H419" s="41" t="s">
        <v>831</v>
      </c>
      <c r="I419" s="43" t="s">
        <v>340</v>
      </c>
      <c r="J419" s="44">
        <v>7</v>
      </c>
      <c r="K419" s="63">
        <v>9</v>
      </c>
      <c r="L419" s="41" t="s">
        <v>832</v>
      </c>
      <c r="M419" s="45"/>
    </row>
    <row r="420" spans="1:13" ht="204.75" x14ac:dyDescent="0.25">
      <c r="A420" s="152"/>
      <c r="B420" s="155"/>
      <c r="C420" s="41"/>
      <c r="D420" s="42"/>
      <c r="E420" s="42"/>
      <c r="F420" s="42"/>
      <c r="G420" s="42"/>
      <c r="H420" s="41" t="s">
        <v>833</v>
      </c>
      <c r="I420" s="43" t="s">
        <v>340</v>
      </c>
      <c r="J420" s="44">
        <v>9</v>
      </c>
      <c r="K420" s="72">
        <v>8</v>
      </c>
      <c r="L420" s="41" t="s">
        <v>834</v>
      </c>
      <c r="M420" s="45"/>
    </row>
    <row r="421" spans="1:13" ht="141.75" x14ac:dyDescent="0.25">
      <c r="A421" s="152"/>
      <c r="B421" s="155"/>
      <c r="C421" s="41"/>
      <c r="D421" s="42"/>
      <c r="E421" s="42"/>
      <c r="F421" s="42"/>
      <c r="G421" s="42"/>
      <c r="H421" s="41" t="s">
        <v>835</v>
      </c>
      <c r="I421" s="43" t="s">
        <v>340</v>
      </c>
      <c r="J421" s="44">
        <v>4</v>
      </c>
      <c r="K421" s="47">
        <v>4</v>
      </c>
      <c r="L421" s="41" t="s">
        <v>836</v>
      </c>
      <c r="M421" s="45"/>
    </row>
    <row r="422" spans="1:13" ht="32.25" thickBot="1" x14ac:dyDescent="0.3">
      <c r="A422" s="153"/>
      <c r="B422" s="156"/>
      <c r="C422" s="41"/>
      <c r="D422" s="42"/>
      <c r="E422" s="42"/>
      <c r="F422" s="42"/>
      <c r="G422" s="42"/>
      <c r="H422" s="41" t="s">
        <v>837</v>
      </c>
      <c r="I422" s="43" t="s">
        <v>340</v>
      </c>
      <c r="J422" s="44">
        <v>85</v>
      </c>
      <c r="K422" s="72">
        <v>82</v>
      </c>
      <c r="L422" s="41" t="s">
        <v>838</v>
      </c>
      <c r="M422" s="45"/>
    </row>
    <row r="423" spans="1:13" ht="189" x14ac:dyDescent="0.25">
      <c r="A423" s="151" t="s">
        <v>839</v>
      </c>
      <c r="B423" s="154" t="s">
        <v>840</v>
      </c>
      <c r="C423" s="33"/>
      <c r="D423" s="34">
        <f>SUM(D424:D425)</f>
        <v>648.70000000000005</v>
      </c>
      <c r="E423" s="34">
        <f>SUM(E424:E425)</f>
        <v>616</v>
      </c>
      <c r="F423" s="34">
        <f>SUM(F424:F425)</f>
        <v>32.700000000000003</v>
      </c>
      <c r="G423" s="53">
        <f>SUM(E423/D423)</f>
        <v>0.94959149067365489</v>
      </c>
      <c r="H423" s="33" t="s">
        <v>841</v>
      </c>
      <c r="I423" s="36" t="s">
        <v>340</v>
      </c>
      <c r="J423" s="37">
        <v>8</v>
      </c>
      <c r="K423" s="62">
        <v>7</v>
      </c>
      <c r="L423" s="33" t="s">
        <v>842</v>
      </c>
      <c r="M423" s="39" t="s">
        <v>1818</v>
      </c>
    </row>
    <row r="424" spans="1:13" ht="47.25" x14ac:dyDescent="0.25">
      <c r="A424" s="152"/>
      <c r="B424" s="155"/>
      <c r="C424" s="41" t="s">
        <v>23</v>
      </c>
      <c r="D424" s="42">
        <v>641</v>
      </c>
      <c r="E424" s="42">
        <v>608.29999999999995</v>
      </c>
      <c r="F424" s="42">
        <v>32.700000000000003</v>
      </c>
      <c r="G424" s="57">
        <f>SUM(E424/D424)</f>
        <v>0.94898595943837749</v>
      </c>
      <c r="H424" s="58" t="s">
        <v>843</v>
      </c>
      <c r="I424" s="43" t="s">
        <v>340</v>
      </c>
      <c r="J424" s="44">
        <v>2580</v>
      </c>
      <c r="K424" s="63">
        <v>2596</v>
      </c>
      <c r="L424" s="41" t="s">
        <v>844</v>
      </c>
      <c r="M424" s="45" t="s">
        <v>1819</v>
      </c>
    </row>
    <row r="425" spans="1:13" ht="16.5" thickBot="1" x14ac:dyDescent="0.3">
      <c r="A425" s="153"/>
      <c r="B425" s="156"/>
      <c r="C425" s="41" t="s">
        <v>37</v>
      </c>
      <c r="D425" s="42">
        <v>7.7</v>
      </c>
      <c r="E425" s="42">
        <v>7.7</v>
      </c>
      <c r="F425" s="42"/>
      <c r="G425" s="61">
        <f>SUM(E425/D425)</f>
        <v>1</v>
      </c>
      <c r="H425" s="41"/>
      <c r="I425" s="43"/>
      <c r="J425" s="44"/>
      <c r="K425" s="44"/>
      <c r="L425" s="41"/>
      <c r="M425" s="45"/>
    </row>
    <row r="426" spans="1:13" ht="60" customHeight="1" x14ac:dyDescent="0.25">
      <c r="A426" s="151" t="s">
        <v>845</v>
      </c>
      <c r="B426" s="154" t="s">
        <v>846</v>
      </c>
      <c r="C426" s="33" t="s">
        <v>23</v>
      </c>
      <c r="D426" s="34">
        <f>SUM(D427:D428)+69.6</f>
        <v>69.599999999999994</v>
      </c>
      <c r="E426" s="34">
        <f>SUM(E427:E428)+69.6</f>
        <v>69.599999999999994</v>
      </c>
      <c r="F426" s="34"/>
      <c r="G426" s="35">
        <f>SUM(E426/D426)</f>
        <v>1</v>
      </c>
      <c r="H426" s="33" t="s">
        <v>847</v>
      </c>
      <c r="I426" s="36" t="s">
        <v>340</v>
      </c>
      <c r="J426" s="37">
        <v>18</v>
      </c>
      <c r="K426" s="60">
        <v>37</v>
      </c>
      <c r="L426" s="33" t="s">
        <v>848</v>
      </c>
      <c r="M426" s="39"/>
    </row>
    <row r="427" spans="1:13" ht="189" x14ac:dyDescent="0.25">
      <c r="A427" s="152"/>
      <c r="B427" s="155"/>
      <c r="C427" s="41"/>
      <c r="D427" s="42"/>
      <c r="E427" s="42"/>
      <c r="F427" s="42"/>
      <c r="G427" s="42"/>
      <c r="H427" s="41" t="s">
        <v>849</v>
      </c>
      <c r="I427" s="43" t="s">
        <v>340</v>
      </c>
      <c r="J427" s="44">
        <v>10</v>
      </c>
      <c r="K427" s="47">
        <v>10</v>
      </c>
      <c r="L427" s="41" t="s">
        <v>850</v>
      </c>
      <c r="M427" s="45"/>
    </row>
    <row r="428" spans="1:13" ht="48" thickBot="1" x14ac:dyDescent="0.3">
      <c r="A428" s="153"/>
      <c r="B428" s="156"/>
      <c r="C428" s="41"/>
      <c r="D428" s="42"/>
      <c r="E428" s="42"/>
      <c r="F428" s="42"/>
      <c r="G428" s="42"/>
      <c r="H428" s="41" t="s">
        <v>851</v>
      </c>
      <c r="I428" s="43" t="s">
        <v>340</v>
      </c>
      <c r="J428" s="44">
        <v>10</v>
      </c>
      <c r="K428" s="63">
        <v>17</v>
      </c>
      <c r="L428" s="41" t="s">
        <v>852</v>
      </c>
      <c r="M428" s="45"/>
    </row>
    <row r="429" spans="1:13" ht="63" x14ac:dyDescent="0.25">
      <c r="A429" s="151" t="s">
        <v>853</v>
      </c>
      <c r="B429" s="154" t="s">
        <v>854</v>
      </c>
      <c r="C429" s="33"/>
      <c r="D429" s="34">
        <f>D430+D431+D432+D433+D435</f>
        <v>1830</v>
      </c>
      <c r="E429" s="34">
        <f>E430+E431+E432+E433+E435</f>
        <v>1825.4</v>
      </c>
      <c r="F429" s="34">
        <f>F430+F431+F432+F433+F435</f>
        <v>4.5999999999999996</v>
      </c>
      <c r="G429" s="35">
        <f>SUM(E429/D429)</f>
        <v>0.99748633879781423</v>
      </c>
      <c r="H429" s="33" t="s">
        <v>855</v>
      </c>
      <c r="I429" s="36" t="s">
        <v>340</v>
      </c>
      <c r="J429" s="37">
        <v>3</v>
      </c>
      <c r="K429" s="38">
        <v>3</v>
      </c>
      <c r="L429" s="33" t="s">
        <v>856</v>
      </c>
      <c r="M429" s="39"/>
    </row>
    <row r="430" spans="1:13" ht="47.25" x14ac:dyDescent="0.25">
      <c r="A430" s="152"/>
      <c r="B430" s="155"/>
      <c r="C430" s="41"/>
      <c r="D430" s="42"/>
      <c r="E430" s="42"/>
      <c r="F430" s="42"/>
      <c r="G430" s="42"/>
      <c r="H430" s="41" t="s">
        <v>857</v>
      </c>
      <c r="I430" s="43" t="s">
        <v>340</v>
      </c>
      <c r="J430" s="44">
        <v>650</v>
      </c>
      <c r="K430" s="63">
        <v>651</v>
      </c>
      <c r="L430" s="41" t="s">
        <v>858</v>
      </c>
      <c r="M430" s="45"/>
    </row>
    <row r="431" spans="1:13" ht="47.25" x14ac:dyDescent="0.25">
      <c r="A431" s="152"/>
      <c r="B431" s="155"/>
      <c r="C431" s="41"/>
      <c r="D431" s="42"/>
      <c r="E431" s="42"/>
      <c r="F431" s="42"/>
      <c r="G431" s="42"/>
      <c r="H431" s="41" t="s">
        <v>859</v>
      </c>
      <c r="I431" s="43" t="s">
        <v>340</v>
      </c>
      <c r="J431" s="44">
        <v>1</v>
      </c>
      <c r="K431" s="47">
        <v>1</v>
      </c>
      <c r="L431" s="41" t="s">
        <v>860</v>
      </c>
      <c r="M431" s="45"/>
    </row>
    <row r="432" spans="1:13" ht="48" thickBot="1" x14ac:dyDescent="0.3">
      <c r="A432" s="153"/>
      <c r="B432" s="156"/>
      <c r="C432" s="41"/>
      <c r="D432" s="42"/>
      <c r="E432" s="42"/>
      <c r="F432" s="42"/>
      <c r="G432" s="42"/>
      <c r="H432" s="41" t="s">
        <v>861</v>
      </c>
      <c r="I432" s="43" t="s">
        <v>340</v>
      </c>
      <c r="J432" s="44">
        <v>560</v>
      </c>
      <c r="K432" s="63">
        <v>561</v>
      </c>
      <c r="L432" s="41" t="s">
        <v>862</v>
      </c>
      <c r="M432" s="45" t="s">
        <v>1820</v>
      </c>
    </row>
    <row r="433" spans="1:13" ht="47.25" x14ac:dyDescent="0.25">
      <c r="A433" s="151" t="s">
        <v>863</v>
      </c>
      <c r="B433" s="154" t="s">
        <v>864</v>
      </c>
      <c r="C433" s="33" t="s">
        <v>23</v>
      </c>
      <c r="D433" s="34">
        <f>SUM(D434:D434)+1072.2</f>
        <v>1072.2</v>
      </c>
      <c r="E433" s="34">
        <f>SUM(E434:E434)+1072.2</f>
        <v>1072.2</v>
      </c>
      <c r="F433" s="34"/>
      <c r="G433" s="35">
        <f>SUM(E433/D433)</f>
        <v>1</v>
      </c>
      <c r="H433" s="33" t="s">
        <v>855</v>
      </c>
      <c r="I433" s="36" t="s">
        <v>340</v>
      </c>
      <c r="J433" s="37">
        <v>3</v>
      </c>
      <c r="K433" s="38">
        <v>3</v>
      </c>
      <c r="L433" s="33"/>
      <c r="M433" s="39"/>
    </row>
    <row r="434" spans="1:13" ht="48" thickBot="1" x14ac:dyDescent="0.3">
      <c r="A434" s="153"/>
      <c r="B434" s="156"/>
      <c r="C434" s="41"/>
      <c r="D434" s="42"/>
      <c r="E434" s="42"/>
      <c r="F434" s="42"/>
      <c r="G434" s="42"/>
      <c r="H434" s="41" t="s">
        <v>857</v>
      </c>
      <c r="I434" s="43" t="s">
        <v>340</v>
      </c>
      <c r="J434" s="44">
        <v>650</v>
      </c>
      <c r="K434" s="63">
        <v>651</v>
      </c>
      <c r="L434" s="41"/>
      <c r="M434" s="45"/>
    </row>
    <row r="435" spans="1:13" ht="47.25" x14ac:dyDescent="0.25">
      <c r="A435" s="151" t="s">
        <v>865</v>
      </c>
      <c r="B435" s="154" t="s">
        <v>866</v>
      </c>
      <c r="C435" s="33" t="s">
        <v>23</v>
      </c>
      <c r="D435" s="34">
        <f>SUM(D436:D436)+757.8</f>
        <v>757.8</v>
      </c>
      <c r="E435" s="34">
        <f>SUM(E436:E436)+753.2</f>
        <v>753.2</v>
      </c>
      <c r="F435" s="34">
        <f>SUM(F436:F436)+4.6</f>
        <v>4.5999999999999996</v>
      </c>
      <c r="G435" s="35">
        <f>SUM(E435/D435)</f>
        <v>0.99392979678015314</v>
      </c>
      <c r="H435" s="33" t="s">
        <v>859</v>
      </c>
      <c r="I435" s="36" t="s">
        <v>340</v>
      </c>
      <c r="J435" s="37">
        <v>1</v>
      </c>
      <c r="K435" s="38">
        <v>1</v>
      </c>
      <c r="L435" s="33"/>
      <c r="M435" s="39"/>
    </row>
    <row r="436" spans="1:13" ht="48" thickBot="1" x14ac:dyDescent="0.3">
      <c r="A436" s="153"/>
      <c r="B436" s="156"/>
      <c r="C436" s="41"/>
      <c r="D436" s="42"/>
      <c r="E436" s="42"/>
      <c r="F436" s="42"/>
      <c r="G436" s="42"/>
      <c r="H436" s="41" t="s">
        <v>861</v>
      </c>
      <c r="I436" s="43" t="s">
        <v>340</v>
      </c>
      <c r="J436" s="44">
        <v>560</v>
      </c>
      <c r="K436" s="63">
        <v>561</v>
      </c>
      <c r="L436" s="41"/>
      <c r="M436" s="45"/>
    </row>
    <row r="437" spans="1:13" ht="63" x14ac:dyDescent="0.25">
      <c r="A437" s="151" t="s">
        <v>867</v>
      </c>
      <c r="B437" s="154" t="s">
        <v>868</v>
      </c>
      <c r="C437" s="33"/>
      <c r="D437" s="34">
        <f>SUM(D438:D442)</f>
        <v>5051.1000000000004</v>
      </c>
      <c r="E437" s="34">
        <f>SUM(E438:E442)-0.1</f>
        <v>4809.5</v>
      </c>
      <c r="F437" s="34">
        <f>SUM(F438:F442)+0.1</f>
        <v>241.6</v>
      </c>
      <c r="G437" s="53">
        <f t="shared" ref="G437:G455" si="16">SUM(E437/D437)</f>
        <v>0.95216883451129453</v>
      </c>
      <c r="H437" s="33" t="s">
        <v>869</v>
      </c>
      <c r="I437" s="36" t="s">
        <v>340</v>
      </c>
      <c r="J437" s="37">
        <v>2715</v>
      </c>
      <c r="K437" s="60">
        <v>2806</v>
      </c>
      <c r="L437" s="33" t="s">
        <v>870</v>
      </c>
      <c r="M437" s="39" t="s">
        <v>1821</v>
      </c>
    </row>
    <row r="438" spans="1:13" ht="47.25" x14ac:dyDescent="0.25">
      <c r="A438" s="152"/>
      <c r="B438" s="155"/>
      <c r="C438" s="41" t="s">
        <v>183</v>
      </c>
      <c r="D438" s="42">
        <v>521.6</v>
      </c>
      <c r="E438" s="42">
        <v>498</v>
      </c>
      <c r="F438" s="42">
        <v>23.6</v>
      </c>
      <c r="G438" s="57">
        <f t="shared" si="16"/>
        <v>0.95475460122699385</v>
      </c>
      <c r="H438" s="58" t="s">
        <v>821</v>
      </c>
      <c r="I438" s="43" t="s">
        <v>340</v>
      </c>
      <c r="J438" s="44">
        <v>28</v>
      </c>
      <c r="K438" s="63">
        <v>45</v>
      </c>
      <c r="L438" s="41" t="s">
        <v>871</v>
      </c>
      <c r="M438" s="45"/>
    </row>
    <row r="439" spans="1:13" ht="63" x14ac:dyDescent="0.25">
      <c r="A439" s="152"/>
      <c r="B439" s="155"/>
      <c r="C439" s="41" t="s">
        <v>37</v>
      </c>
      <c r="D439" s="42">
        <v>164.6</v>
      </c>
      <c r="E439" s="42">
        <v>125.8</v>
      </c>
      <c r="F439" s="42">
        <v>38.9</v>
      </c>
      <c r="G439" s="57">
        <f t="shared" si="16"/>
        <v>0.76427703523693802</v>
      </c>
      <c r="H439" s="58" t="s">
        <v>823</v>
      </c>
      <c r="I439" s="43" t="s">
        <v>340</v>
      </c>
      <c r="J439" s="44">
        <v>106</v>
      </c>
      <c r="K439" s="63">
        <v>161</v>
      </c>
      <c r="L439" s="41" t="s">
        <v>872</v>
      </c>
      <c r="M439" s="45"/>
    </row>
    <row r="440" spans="1:13" x14ac:dyDescent="0.25">
      <c r="A440" s="152"/>
      <c r="B440" s="155"/>
      <c r="C440" s="41" t="s">
        <v>189</v>
      </c>
      <c r="D440" s="42">
        <v>110.1</v>
      </c>
      <c r="E440" s="42">
        <v>75.599999999999994</v>
      </c>
      <c r="F440" s="42">
        <v>34.5</v>
      </c>
      <c r="G440" s="57">
        <f t="shared" si="16"/>
        <v>0.68664850136239786</v>
      </c>
      <c r="H440" s="58"/>
      <c r="I440" s="43"/>
      <c r="J440" s="44"/>
      <c r="K440" s="44"/>
      <c r="L440" s="41"/>
      <c r="M440" s="45"/>
    </row>
    <row r="441" spans="1:13" x14ac:dyDescent="0.25">
      <c r="A441" s="152"/>
      <c r="B441" s="155"/>
      <c r="C441" s="41" t="s">
        <v>186</v>
      </c>
      <c r="D441" s="42">
        <v>79.2</v>
      </c>
      <c r="E441" s="42">
        <v>43.8</v>
      </c>
      <c r="F441" s="42">
        <v>35.299999999999997</v>
      </c>
      <c r="G441" s="57">
        <f t="shared" si="16"/>
        <v>0.55303030303030298</v>
      </c>
      <c r="H441" s="58"/>
      <c r="I441" s="43"/>
      <c r="J441" s="44"/>
      <c r="K441" s="44"/>
      <c r="L441" s="41"/>
      <c r="M441" s="45"/>
    </row>
    <row r="442" spans="1:13" ht="16.5" thickBot="1" x14ac:dyDescent="0.3">
      <c r="A442" s="153"/>
      <c r="B442" s="156"/>
      <c r="C442" s="41" t="s">
        <v>23</v>
      </c>
      <c r="D442" s="42">
        <v>4175.6000000000004</v>
      </c>
      <c r="E442" s="42">
        <v>4066.4</v>
      </c>
      <c r="F442" s="42">
        <v>109.2</v>
      </c>
      <c r="G442" s="61">
        <f t="shared" si="16"/>
        <v>0.97384806973848059</v>
      </c>
      <c r="H442" s="41"/>
      <c r="I442" s="43"/>
      <c r="J442" s="44"/>
      <c r="K442" s="44"/>
      <c r="L442" s="41"/>
      <c r="M442" s="45"/>
    </row>
    <row r="443" spans="1:13" ht="32.25" thickBot="1" x14ac:dyDescent="0.3">
      <c r="A443" s="25" t="s">
        <v>873</v>
      </c>
      <c r="B443" s="26" t="s">
        <v>874</v>
      </c>
      <c r="C443" s="27"/>
      <c r="D443" s="28">
        <f>D444+D448+D449+D450</f>
        <v>2349.7999999999997</v>
      </c>
      <c r="E443" s="28">
        <f>E444+E448+E449+E450</f>
        <v>321.79999999999995</v>
      </c>
      <c r="F443" s="28">
        <f>F444+F448+F449+F450</f>
        <v>2028</v>
      </c>
      <c r="G443" s="29">
        <f t="shared" si="16"/>
        <v>0.13694782534683803</v>
      </c>
      <c r="H443" s="129"/>
      <c r="I443" s="130"/>
      <c r="J443" s="130"/>
      <c r="K443" s="130"/>
      <c r="L443" s="130"/>
      <c r="M443" s="131"/>
    </row>
    <row r="444" spans="1:13" ht="78.75" x14ac:dyDescent="0.25">
      <c r="A444" s="151" t="s">
        <v>875</v>
      </c>
      <c r="B444" s="154" t="s">
        <v>876</v>
      </c>
      <c r="C444" s="33"/>
      <c r="D444" s="34">
        <f>SUM(D445:D447)</f>
        <v>2209.1</v>
      </c>
      <c r="E444" s="34">
        <f>SUM(E445:E447)</f>
        <v>185.2</v>
      </c>
      <c r="F444" s="34">
        <f>SUM(F445:F447)</f>
        <v>2023.9</v>
      </c>
      <c r="G444" s="53">
        <f t="shared" si="16"/>
        <v>8.3835045946312983E-2</v>
      </c>
      <c r="H444" s="33" t="s">
        <v>877</v>
      </c>
      <c r="I444" s="36" t="s">
        <v>340</v>
      </c>
      <c r="J444" s="37">
        <v>1</v>
      </c>
      <c r="K444" s="38">
        <v>0.5</v>
      </c>
      <c r="L444" s="33" t="s">
        <v>878</v>
      </c>
      <c r="M444" s="80" t="s">
        <v>1724</v>
      </c>
    </row>
    <row r="445" spans="1:13" x14ac:dyDescent="0.25">
      <c r="A445" s="152"/>
      <c r="B445" s="155"/>
      <c r="C445" s="41" t="s">
        <v>23</v>
      </c>
      <c r="D445" s="42">
        <v>194</v>
      </c>
      <c r="E445" s="42">
        <v>0.1</v>
      </c>
      <c r="F445" s="42">
        <v>193.9</v>
      </c>
      <c r="G445" s="57">
        <f t="shared" si="16"/>
        <v>5.1546391752577321E-4</v>
      </c>
      <c r="H445" s="58" t="s">
        <v>879</v>
      </c>
      <c r="I445" s="43" t="s">
        <v>27</v>
      </c>
      <c r="J445" s="44">
        <v>10</v>
      </c>
      <c r="K445" s="49">
        <v>0</v>
      </c>
      <c r="L445" s="41" t="s">
        <v>880</v>
      </c>
      <c r="M445" s="45"/>
    </row>
    <row r="446" spans="1:13" x14ac:dyDescent="0.25">
      <c r="A446" s="152"/>
      <c r="B446" s="155"/>
      <c r="C446" s="41" t="s">
        <v>37</v>
      </c>
      <c r="D446" s="42">
        <v>15.1</v>
      </c>
      <c r="E446" s="42">
        <v>0.1</v>
      </c>
      <c r="F446" s="42">
        <v>15</v>
      </c>
      <c r="G446" s="57">
        <f t="shared" si="16"/>
        <v>6.6225165562913916E-3</v>
      </c>
      <c r="H446" s="58"/>
      <c r="I446" s="43"/>
      <c r="J446" s="44"/>
      <c r="K446" s="44"/>
      <c r="L446" s="41"/>
      <c r="M446" s="45"/>
    </row>
    <row r="447" spans="1:13" ht="16.5" thickBot="1" x14ac:dyDescent="0.3">
      <c r="A447" s="153"/>
      <c r="B447" s="156"/>
      <c r="C447" s="41" t="s">
        <v>881</v>
      </c>
      <c r="D447" s="42">
        <v>2000</v>
      </c>
      <c r="E447" s="42">
        <v>185</v>
      </c>
      <c r="F447" s="42">
        <v>1815</v>
      </c>
      <c r="G447" s="61">
        <f t="shared" si="16"/>
        <v>9.2499999999999999E-2</v>
      </c>
      <c r="H447" s="41"/>
      <c r="I447" s="43"/>
      <c r="J447" s="44"/>
      <c r="K447" s="44"/>
      <c r="L447" s="41"/>
      <c r="M447" s="45"/>
    </row>
    <row r="448" spans="1:13" ht="63.75" thickBot="1" x14ac:dyDescent="0.3">
      <c r="A448" s="64" t="s">
        <v>882</v>
      </c>
      <c r="B448" s="65" t="s">
        <v>883</v>
      </c>
      <c r="C448" s="33" t="s">
        <v>37</v>
      </c>
      <c r="D448" s="66">
        <v>22.5</v>
      </c>
      <c r="E448" s="66">
        <v>22.5</v>
      </c>
      <c r="F448" s="66"/>
      <c r="G448" s="35">
        <f t="shared" si="16"/>
        <v>1</v>
      </c>
      <c r="H448" s="33" t="s">
        <v>879</v>
      </c>
      <c r="I448" s="36" t="s">
        <v>27</v>
      </c>
      <c r="J448" s="37">
        <v>100</v>
      </c>
      <c r="K448" s="38">
        <v>100</v>
      </c>
      <c r="L448" s="33" t="s">
        <v>884</v>
      </c>
      <c r="M448" s="39"/>
    </row>
    <row r="449" spans="1:17" ht="63.75" thickBot="1" x14ac:dyDescent="0.3">
      <c r="A449" s="64" t="s">
        <v>885</v>
      </c>
      <c r="B449" s="65" t="s">
        <v>886</v>
      </c>
      <c r="C449" s="33" t="s">
        <v>23</v>
      </c>
      <c r="D449" s="66">
        <v>48.2</v>
      </c>
      <c r="E449" s="66">
        <v>48.1</v>
      </c>
      <c r="F449" s="66">
        <v>0.1</v>
      </c>
      <c r="G449" s="35">
        <f t="shared" si="16"/>
        <v>0.99792531120331951</v>
      </c>
      <c r="H449" s="33" t="s">
        <v>887</v>
      </c>
      <c r="I449" s="36" t="s">
        <v>27</v>
      </c>
      <c r="J449" s="37">
        <v>100</v>
      </c>
      <c r="K449" s="38">
        <v>100</v>
      </c>
      <c r="L449" s="33" t="s">
        <v>888</v>
      </c>
      <c r="M449" s="39"/>
    </row>
    <row r="450" spans="1:17" ht="48" thickBot="1" x14ac:dyDescent="0.3">
      <c r="A450" s="64" t="s">
        <v>889</v>
      </c>
      <c r="B450" s="65" t="s">
        <v>890</v>
      </c>
      <c r="C450" s="33" t="s">
        <v>23</v>
      </c>
      <c r="D450" s="66">
        <v>70</v>
      </c>
      <c r="E450" s="66">
        <v>66</v>
      </c>
      <c r="F450" s="66">
        <v>4</v>
      </c>
      <c r="G450" s="35">
        <f t="shared" si="16"/>
        <v>0.94285714285714284</v>
      </c>
      <c r="H450" s="33" t="s">
        <v>879</v>
      </c>
      <c r="I450" s="36" t="s">
        <v>27</v>
      </c>
      <c r="J450" s="37">
        <v>100</v>
      </c>
      <c r="K450" s="62">
        <v>98</v>
      </c>
      <c r="L450" s="33" t="s">
        <v>891</v>
      </c>
      <c r="M450" s="39" t="s">
        <v>1822</v>
      </c>
    </row>
    <row r="451" spans="1:17" ht="32.25" thickBot="1" x14ac:dyDescent="0.3">
      <c r="A451" s="25" t="s">
        <v>892</v>
      </c>
      <c r="B451" s="26" t="s">
        <v>893</v>
      </c>
      <c r="C451" s="27"/>
      <c r="D451" s="28">
        <f>SUM(D452:D453)</f>
        <v>52.4</v>
      </c>
      <c r="E451" s="28">
        <f>SUM(E452:E453)</f>
        <v>51.4</v>
      </c>
      <c r="F451" s="28">
        <f>SUM(F452:F453)</f>
        <v>1</v>
      </c>
      <c r="G451" s="29">
        <f t="shared" si="16"/>
        <v>0.98091603053435117</v>
      </c>
      <c r="H451" s="129"/>
      <c r="I451" s="130"/>
      <c r="J451" s="130"/>
      <c r="K451" s="130"/>
      <c r="L451" s="130"/>
      <c r="M451" s="131"/>
    </row>
    <row r="452" spans="1:17" ht="79.5" thickBot="1" x14ac:dyDescent="0.3">
      <c r="A452" s="64" t="s">
        <v>894</v>
      </c>
      <c r="B452" s="65" t="s">
        <v>895</v>
      </c>
      <c r="C452" s="33" t="s">
        <v>23</v>
      </c>
      <c r="D452" s="66">
        <v>24</v>
      </c>
      <c r="E452" s="66">
        <v>23</v>
      </c>
      <c r="F452" s="66">
        <v>1</v>
      </c>
      <c r="G452" s="35">
        <f t="shared" si="16"/>
        <v>0.95833333333333337</v>
      </c>
      <c r="H452" s="33" t="s">
        <v>896</v>
      </c>
      <c r="I452" s="36" t="s">
        <v>27</v>
      </c>
      <c r="J452" s="37">
        <v>9.8000000000000007</v>
      </c>
      <c r="K452" s="38">
        <v>9.9</v>
      </c>
      <c r="L452" s="33" t="s">
        <v>897</v>
      </c>
      <c r="M452" s="39" t="s">
        <v>1823</v>
      </c>
    </row>
    <row r="453" spans="1:17" ht="95.25" thickBot="1" x14ac:dyDescent="0.3">
      <c r="A453" s="64" t="s">
        <v>898</v>
      </c>
      <c r="B453" s="65" t="s">
        <v>899</v>
      </c>
      <c r="C453" s="33" t="s">
        <v>23</v>
      </c>
      <c r="D453" s="66">
        <v>28.4</v>
      </c>
      <c r="E453" s="66">
        <v>28.4</v>
      </c>
      <c r="F453" s="66"/>
      <c r="G453" s="35">
        <f t="shared" si="16"/>
        <v>1</v>
      </c>
      <c r="H453" s="33" t="s">
        <v>900</v>
      </c>
      <c r="I453" s="36" t="s">
        <v>27</v>
      </c>
      <c r="J453" s="37">
        <v>18</v>
      </c>
      <c r="K453" s="60">
        <v>21.9</v>
      </c>
      <c r="L453" s="33" t="s">
        <v>901</v>
      </c>
      <c r="M453" s="39"/>
    </row>
    <row r="454" spans="1:17" ht="48" thickBot="1" x14ac:dyDescent="0.3">
      <c r="A454" s="10" t="s">
        <v>902</v>
      </c>
      <c r="B454" s="11" t="s">
        <v>903</v>
      </c>
      <c r="C454" s="12"/>
      <c r="D454" s="13">
        <f>D455+D553</f>
        <v>95293.600000000035</v>
      </c>
      <c r="E454" s="13">
        <f>E455+E553+0.1</f>
        <v>88462.39999999998</v>
      </c>
      <c r="F454" s="13">
        <f>F455+F553</f>
        <v>6831.2999999999993</v>
      </c>
      <c r="G454" s="14">
        <f t="shared" si="16"/>
        <v>0.92831417849677156</v>
      </c>
      <c r="H454" s="126"/>
      <c r="I454" s="127"/>
      <c r="J454" s="127"/>
      <c r="K454" s="127"/>
      <c r="L454" s="127"/>
      <c r="M454" s="128"/>
      <c r="O454" s="23"/>
      <c r="P454" s="24" t="s">
        <v>1</v>
      </c>
      <c r="Q454" s="24" t="s">
        <v>1930</v>
      </c>
    </row>
    <row r="455" spans="1:17" ht="47.25" x14ac:dyDescent="0.25">
      <c r="A455" s="157" t="s">
        <v>904</v>
      </c>
      <c r="B455" s="160" t="s">
        <v>905</v>
      </c>
      <c r="C455" s="17"/>
      <c r="D455" s="18">
        <f>D456+D457+D488</f>
        <v>88453.000000000029</v>
      </c>
      <c r="E455" s="18">
        <f>E456+E457+E488</f>
        <v>84569.299999999974</v>
      </c>
      <c r="F455" s="18">
        <f>F456+F457+F488</f>
        <v>3883.6999999999994</v>
      </c>
      <c r="G455" s="19">
        <f t="shared" si="16"/>
        <v>0.95609306637423208</v>
      </c>
      <c r="H455" s="17" t="s">
        <v>906</v>
      </c>
      <c r="I455" s="20" t="s">
        <v>27</v>
      </c>
      <c r="J455" s="21">
        <v>100</v>
      </c>
      <c r="K455" s="21">
        <v>100</v>
      </c>
      <c r="L455" s="17"/>
      <c r="M455" s="22"/>
      <c r="O455" s="30"/>
      <c r="P455" s="31" t="s">
        <v>1712</v>
      </c>
      <c r="Q455" s="32">
        <v>16</v>
      </c>
    </row>
    <row r="456" spans="1:17" ht="48" thickBot="1" x14ac:dyDescent="0.3">
      <c r="A456" s="159"/>
      <c r="B456" s="162"/>
      <c r="C456" s="67"/>
      <c r="D456" s="68"/>
      <c r="E456" s="68"/>
      <c r="F456" s="68"/>
      <c r="G456" s="68"/>
      <c r="H456" s="67" t="s">
        <v>907</v>
      </c>
      <c r="I456" s="69" t="s">
        <v>340</v>
      </c>
      <c r="J456" s="70">
        <v>13500</v>
      </c>
      <c r="K456" s="70">
        <v>14621</v>
      </c>
      <c r="L456" s="67"/>
      <c r="M456" s="71"/>
      <c r="O456" s="40"/>
      <c r="P456" s="31" t="s">
        <v>1713</v>
      </c>
      <c r="Q456" s="32"/>
    </row>
    <row r="457" spans="1:17" ht="48" thickBot="1" x14ac:dyDescent="0.3">
      <c r="A457" s="25" t="s">
        <v>908</v>
      </c>
      <c r="B457" s="26" t="s">
        <v>909</v>
      </c>
      <c r="C457" s="27"/>
      <c r="D457" s="28">
        <f>D458+D464+D465+D471+D475+D486+D487</f>
        <v>931.3</v>
      </c>
      <c r="E457" s="28">
        <f>E458+E464+E465+E471+E475+E486+E487</f>
        <v>831.30000000000007</v>
      </c>
      <c r="F457" s="28">
        <f>F458+F464+F465+F471+F475+F486+F487</f>
        <v>100.00000000000001</v>
      </c>
      <c r="G457" s="29">
        <f>SUM(E457/D457)</f>
        <v>0.8926232148609472</v>
      </c>
      <c r="H457" s="129"/>
      <c r="I457" s="130"/>
      <c r="J457" s="130"/>
      <c r="K457" s="130"/>
      <c r="L457" s="130"/>
      <c r="M457" s="131"/>
      <c r="O457" s="1"/>
      <c r="P457" s="2" t="s">
        <v>1714</v>
      </c>
      <c r="Q457" s="48">
        <v>10</v>
      </c>
    </row>
    <row r="458" spans="1:17" ht="63" x14ac:dyDescent="0.25">
      <c r="A458" s="151" t="s">
        <v>910</v>
      </c>
      <c r="B458" s="154" t="s">
        <v>911</v>
      </c>
      <c r="C458" s="33" t="s">
        <v>23</v>
      </c>
      <c r="D458" s="34">
        <f>SUM(D459:D463)+140.5</f>
        <v>140.5</v>
      </c>
      <c r="E458" s="34">
        <f>SUM(E459:E463)+140.5</f>
        <v>140.5</v>
      </c>
      <c r="F458" s="34"/>
      <c r="G458" s="35">
        <f>SUM(E458/D458)</f>
        <v>1</v>
      </c>
      <c r="H458" s="33" t="s">
        <v>912</v>
      </c>
      <c r="I458" s="36" t="s">
        <v>340</v>
      </c>
      <c r="J458" s="37">
        <v>8</v>
      </c>
      <c r="K458" s="38">
        <v>8</v>
      </c>
      <c r="L458" s="33" t="s">
        <v>913</v>
      </c>
      <c r="M458" s="39" t="s">
        <v>1824</v>
      </c>
      <c r="O458" s="50"/>
      <c r="P458" s="31" t="s">
        <v>1716</v>
      </c>
      <c r="Q458" s="51">
        <v>6</v>
      </c>
    </row>
    <row r="459" spans="1:17" ht="31.5" x14ac:dyDescent="0.25">
      <c r="A459" s="152"/>
      <c r="B459" s="155"/>
      <c r="C459" s="41"/>
      <c r="D459" s="42"/>
      <c r="E459" s="42"/>
      <c r="F459" s="42"/>
      <c r="G459" s="42"/>
      <c r="H459" s="41" t="s">
        <v>914</v>
      </c>
      <c r="I459" s="43" t="s">
        <v>340</v>
      </c>
      <c r="J459" s="44">
        <v>1200</v>
      </c>
      <c r="K459" s="72">
        <v>975</v>
      </c>
      <c r="L459" s="41"/>
      <c r="M459" s="45" t="s">
        <v>1825</v>
      </c>
      <c r="O459" s="52"/>
      <c r="P459" s="31" t="s">
        <v>1717</v>
      </c>
      <c r="Q459" s="48">
        <v>4</v>
      </c>
    </row>
    <row r="460" spans="1:17" ht="31.5" x14ac:dyDescent="0.25">
      <c r="A460" s="152"/>
      <c r="B460" s="155"/>
      <c r="C460" s="41"/>
      <c r="D460" s="42"/>
      <c r="E460" s="42"/>
      <c r="F460" s="42"/>
      <c r="G460" s="42"/>
      <c r="H460" s="41" t="s">
        <v>915</v>
      </c>
      <c r="I460" s="43" t="s">
        <v>340</v>
      </c>
      <c r="J460" s="44">
        <v>10</v>
      </c>
      <c r="K460" s="47">
        <v>10</v>
      </c>
      <c r="L460" s="41" t="s">
        <v>916</v>
      </c>
      <c r="M460" s="45"/>
      <c r="O460" s="23"/>
      <c r="P460" s="55" t="s">
        <v>1715</v>
      </c>
      <c r="Q460" s="48">
        <f>+SUM(Q455:Q459)</f>
        <v>36</v>
      </c>
    </row>
    <row r="461" spans="1:17" ht="47.25" x14ac:dyDescent="0.25">
      <c r="A461" s="152"/>
      <c r="B461" s="155"/>
      <c r="C461" s="41"/>
      <c r="D461" s="42"/>
      <c r="E461" s="42"/>
      <c r="F461" s="42"/>
      <c r="G461" s="42"/>
      <c r="H461" s="41" t="s">
        <v>917</v>
      </c>
      <c r="I461" s="43" t="s">
        <v>340</v>
      </c>
      <c r="J461" s="44">
        <v>100</v>
      </c>
      <c r="K461" s="72">
        <v>55</v>
      </c>
      <c r="L461" s="41" t="s">
        <v>918</v>
      </c>
      <c r="M461" s="45"/>
    </row>
    <row r="462" spans="1:17" ht="47.25" x14ac:dyDescent="0.25">
      <c r="A462" s="152"/>
      <c r="B462" s="155"/>
      <c r="C462" s="41"/>
      <c r="D462" s="42"/>
      <c r="E462" s="42"/>
      <c r="F462" s="42"/>
      <c r="G462" s="42"/>
      <c r="H462" s="41" t="s">
        <v>919</v>
      </c>
      <c r="I462" s="43" t="s">
        <v>340</v>
      </c>
      <c r="J462" s="44">
        <v>25</v>
      </c>
      <c r="K462" s="63">
        <v>123</v>
      </c>
      <c r="L462" s="41" t="s">
        <v>920</v>
      </c>
      <c r="M462" s="45"/>
    </row>
    <row r="463" spans="1:17" ht="48" thickBot="1" x14ac:dyDescent="0.3">
      <c r="A463" s="153"/>
      <c r="B463" s="156"/>
      <c r="C463" s="41"/>
      <c r="D463" s="42"/>
      <c r="E463" s="42"/>
      <c r="F463" s="42"/>
      <c r="G463" s="42"/>
      <c r="H463" s="41" t="s">
        <v>921</v>
      </c>
      <c r="I463" s="43" t="s">
        <v>340</v>
      </c>
      <c r="J463" s="44">
        <v>1090</v>
      </c>
      <c r="K463" s="63">
        <v>1272</v>
      </c>
      <c r="L463" s="41" t="s">
        <v>922</v>
      </c>
      <c r="M463" s="45"/>
    </row>
    <row r="464" spans="1:17" ht="79.5" thickBot="1" x14ac:dyDescent="0.3">
      <c r="A464" s="64" t="s">
        <v>923</v>
      </c>
      <c r="B464" s="65" t="s">
        <v>924</v>
      </c>
      <c r="C464" s="33" t="s">
        <v>23</v>
      </c>
      <c r="D464" s="66">
        <v>77.3</v>
      </c>
      <c r="E464" s="66">
        <v>77.3</v>
      </c>
      <c r="F464" s="66"/>
      <c r="G464" s="35">
        <f>SUM(E464/D464)</f>
        <v>1</v>
      </c>
      <c r="H464" s="33" t="s">
        <v>925</v>
      </c>
      <c r="I464" s="36" t="s">
        <v>18</v>
      </c>
      <c r="J464" s="37">
        <v>32</v>
      </c>
      <c r="K464" s="38">
        <v>32</v>
      </c>
      <c r="L464" s="33" t="s">
        <v>926</v>
      </c>
      <c r="M464" s="39" t="s">
        <v>1824</v>
      </c>
    </row>
    <row r="465" spans="1:13" ht="78.75" x14ac:dyDescent="0.25">
      <c r="A465" s="151" t="s">
        <v>927</v>
      </c>
      <c r="B465" s="154" t="s">
        <v>928</v>
      </c>
      <c r="C465" s="33" t="s">
        <v>23</v>
      </c>
      <c r="D465" s="34">
        <f>SUM(D466:D470)+103.6</f>
        <v>103.6</v>
      </c>
      <c r="E465" s="34">
        <f>SUM(E466:E470)+59.9</f>
        <v>59.9</v>
      </c>
      <c r="F465" s="34">
        <f>SUM(F466:F470)+43.7</f>
        <v>43.7</v>
      </c>
      <c r="G465" s="35">
        <f>SUM(E465/D465)</f>
        <v>0.5781853281853282</v>
      </c>
      <c r="H465" s="33" t="s">
        <v>929</v>
      </c>
      <c r="I465" s="36" t="s">
        <v>340</v>
      </c>
      <c r="J465" s="37">
        <v>24</v>
      </c>
      <c r="K465" s="38">
        <v>24</v>
      </c>
      <c r="L465" s="33" t="s">
        <v>930</v>
      </c>
      <c r="M465" s="39"/>
    </row>
    <row r="466" spans="1:13" ht="94.5" x14ac:dyDescent="0.25">
      <c r="A466" s="152"/>
      <c r="B466" s="155"/>
      <c r="C466" s="41"/>
      <c r="D466" s="42"/>
      <c r="E466" s="42"/>
      <c r="F466" s="42"/>
      <c r="G466" s="42"/>
      <c r="H466" s="41" t="s">
        <v>931</v>
      </c>
      <c r="I466" s="43" t="s">
        <v>340</v>
      </c>
      <c r="J466" s="44">
        <v>44</v>
      </c>
      <c r="K466" s="63">
        <v>55</v>
      </c>
      <c r="L466" s="41" t="s">
        <v>932</v>
      </c>
      <c r="M466" s="45"/>
    </row>
    <row r="467" spans="1:13" ht="63" x14ac:dyDescent="0.25">
      <c r="A467" s="152"/>
      <c r="B467" s="155"/>
      <c r="C467" s="41"/>
      <c r="D467" s="42"/>
      <c r="E467" s="42"/>
      <c r="F467" s="42"/>
      <c r="G467" s="42"/>
      <c r="H467" s="41" t="s">
        <v>933</v>
      </c>
      <c r="I467" s="43" t="s">
        <v>18</v>
      </c>
      <c r="J467" s="44">
        <v>1</v>
      </c>
      <c r="K467" s="47">
        <v>1</v>
      </c>
      <c r="L467" s="41" t="s">
        <v>934</v>
      </c>
      <c r="M467" s="45"/>
    </row>
    <row r="468" spans="1:13" ht="63" x14ac:dyDescent="0.25">
      <c r="A468" s="152"/>
      <c r="B468" s="155"/>
      <c r="C468" s="41"/>
      <c r="D468" s="42"/>
      <c r="E468" s="42"/>
      <c r="F468" s="42"/>
      <c r="G468" s="42"/>
      <c r="H468" s="41" t="s">
        <v>935</v>
      </c>
      <c r="I468" s="43" t="s">
        <v>18</v>
      </c>
      <c r="J468" s="44">
        <v>1</v>
      </c>
      <c r="K468" s="47">
        <v>1</v>
      </c>
      <c r="L468" s="41" t="s">
        <v>936</v>
      </c>
      <c r="M468" s="45"/>
    </row>
    <row r="469" spans="1:13" ht="85.5" customHeight="1" x14ac:dyDescent="0.25">
      <c r="A469" s="152"/>
      <c r="B469" s="155"/>
      <c r="C469" s="41"/>
      <c r="D469" s="42"/>
      <c r="E469" s="42"/>
      <c r="F469" s="42"/>
      <c r="G469" s="42"/>
      <c r="H469" s="41" t="s">
        <v>937</v>
      </c>
      <c r="I469" s="43" t="s">
        <v>18</v>
      </c>
      <c r="J469" s="44">
        <v>1</v>
      </c>
      <c r="K469" s="49">
        <v>0</v>
      </c>
      <c r="L469" s="41"/>
      <c r="M469" s="81" t="s">
        <v>1826</v>
      </c>
    </row>
    <row r="470" spans="1:13" ht="48" thickBot="1" x14ac:dyDescent="0.3">
      <c r="A470" s="153"/>
      <c r="B470" s="156"/>
      <c r="C470" s="41"/>
      <c r="D470" s="42"/>
      <c r="E470" s="42"/>
      <c r="F470" s="42"/>
      <c r="G470" s="42"/>
      <c r="H470" s="41" t="s">
        <v>938</v>
      </c>
      <c r="I470" s="43" t="s">
        <v>340</v>
      </c>
      <c r="J470" s="44">
        <v>1</v>
      </c>
      <c r="K470" s="47">
        <v>1</v>
      </c>
      <c r="L470" s="41" t="s">
        <v>939</v>
      </c>
      <c r="M470" s="45"/>
    </row>
    <row r="471" spans="1:13" ht="110.25" x14ac:dyDescent="0.25">
      <c r="A471" s="151" t="s">
        <v>940</v>
      </c>
      <c r="B471" s="154" t="s">
        <v>941</v>
      </c>
      <c r="C471" s="33"/>
      <c r="D471" s="34">
        <f>SUM(D472:D474)</f>
        <v>116.1</v>
      </c>
      <c r="E471" s="34">
        <f>SUM(E472:E474)</f>
        <v>88.9</v>
      </c>
      <c r="F471" s="34">
        <f>SUM(F472:F474)</f>
        <v>27.2</v>
      </c>
      <c r="G471" s="53">
        <f>SUM(E471/D471)</f>
        <v>0.76571920757967282</v>
      </c>
      <c r="H471" s="33" t="s">
        <v>942</v>
      </c>
      <c r="I471" s="36" t="s">
        <v>340</v>
      </c>
      <c r="J471" s="37">
        <v>63</v>
      </c>
      <c r="K471" s="38">
        <v>63</v>
      </c>
      <c r="L471" s="33" t="s">
        <v>943</v>
      </c>
      <c r="M471" s="39" t="s">
        <v>1827</v>
      </c>
    </row>
    <row r="472" spans="1:13" x14ac:dyDescent="0.25">
      <c r="A472" s="152"/>
      <c r="B472" s="155"/>
      <c r="C472" s="41" t="s">
        <v>208</v>
      </c>
      <c r="D472" s="42">
        <v>70</v>
      </c>
      <c r="E472" s="42">
        <v>65.3</v>
      </c>
      <c r="F472" s="42">
        <v>4.7</v>
      </c>
      <c r="G472" s="57">
        <f>SUM(E472/D472)</f>
        <v>0.93285714285714283</v>
      </c>
      <c r="H472" s="58"/>
      <c r="I472" s="43"/>
      <c r="J472" s="44"/>
      <c r="K472" s="44"/>
      <c r="L472" s="41"/>
      <c r="M472" s="45"/>
    </row>
    <row r="473" spans="1:13" x14ac:dyDescent="0.25">
      <c r="A473" s="152"/>
      <c r="B473" s="155"/>
      <c r="C473" s="41" t="s">
        <v>37</v>
      </c>
      <c r="D473" s="42">
        <v>33.1</v>
      </c>
      <c r="E473" s="42">
        <v>23.6</v>
      </c>
      <c r="F473" s="42">
        <v>9.5</v>
      </c>
      <c r="G473" s="57">
        <f>SUM(E473/D473)</f>
        <v>0.7129909365558913</v>
      </c>
      <c r="H473" s="58"/>
      <c r="I473" s="43"/>
      <c r="J473" s="44"/>
      <c r="K473" s="44"/>
      <c r="L473" s="41"/>
      <c r="M473" s="45"/>
    </row>
    <row r="474" spans="1:13" ht="16.5" thickBot="1" x14ac:dyDescent="0.3">
      <c r="A474" s="153"/>
      <c r="B474" s="156"/>
      <c r="C474" s="41" t="s">
        <v>23</v>
      </c>
      <c r="D474" s="42">
        <v>13</v>
      </c>
      <c r="E474" s="42"/>
      <c r="F474" s="42">
        <v>13</v>
      </c>
      <c r="G474" s="61">
        <f>SUM(E474/D474)</f>
        <v>0</v>
      </c>
      <c r="H474" s="41"/>
      <c r="I474" s="43"/>
      <c r="J474" s="44"/>
      <c r="K474" s="44"/>
      <c r="L474" s="41"/>
      <c r="M474" s="45"/>
    </row>
    <row r="475" spans="1:13" ht="120" customHeight="1" x14ac:dyDescent="0.25">
      <c r="A475" s="151" t="s">
        <v>944</v>
      </c>
      <c r="B475" s="154" t="s">
        <v>945</v>
      </c>
      <c r="C475" s="33" t="s">
        <v>23</v>
      </c>
      <c r="D475" s="34">
        <f>SUM(D476:D485)+390</f>
        <v>390</v>
      </c>
      <c r="E475" s="34">
        <f>SUM(E476:E485)+363.3</f>
        <v>363.3</v>
      </c>
      <c r="F475" s="34">
        <f>SUM(F476:F485)+26.7</f>
        <v>26.7</v>
      </c>
      <c r="G475" s="35">
        <f>SUM(E475/D475)</f>
        <v>0.93153846153846154</v>
      </c>
      <c r="H475" s="33" t="s">
        <v>946</v>
      </c>
      <c r="I475" s="36" t="s">
        <v>340</v>
      </c>
      <c r="J475" s="37">
        <v>120</v>
      </c>
      <c r="K475" s="60">
        <v>146</v>
      </c>
      <c r="L475" s="33" t="s">
        <v>947</v>
      </c>
      <c r="M475" s="39"/>
    </row>
    <row r="476" spans="1:13" ht="94.5" x14ac:dyDescent="0.25">
      <c r="A476" s="152"/>
      <c r="B476" s="155"/>
      <c r="C476" s="41"/>
      <c r="D476" s="42"/>
      <c r="E476" s="42"/>
      <c r="F476" s="42"/>
      <c r="G476" s="42"/>
      <c r="H476" s="41" t="s">
        <v>948</v>
      </c>
      <c r="I476" s="43" t="s">
        <v>340</v>
      </c>
      <c r="J476" s="44">
        <v>4</v>
      </c>
      <c r="K476" s="72">
        <v>3</v>
      </c>
      <c r="L476" s="41" t="s">
        <v>949</v>
      </c>
      <c r="M476" s="45"/>
    </row>
    <row r="477" spans="1:13" ht="110.25" x14ac:dyDescent="0.25">
      <c r="A477" s="152"/>
      <c r="B477" s="155"/>
      <c r="C477" s="41"/>
      <c r="D477" s="42"/>
      <c r="E477" s="42"/>
      <c r="F477" s="42"/>
      <c r="G477" s="42"/>
      <c r="H477" s="41" t="s">
        <v>950</v>
      </c>
      <c r="I477" s="43" t="s">
        <v>340</v>
      </c>
      <c r="J477" s="44">
        <v>6</v>
      </c>
      <c r="K477" s="72">
        <v>5</v>
      </c>
      <c r="L477" s="41" t="s">
        <v>951</v>
      </c>
      <c r="M477" s="45" t="s">
        <v>1828</v>
      </c>
    </row>
    <row r="478" spans="1:13" ht="94.5" x14ac:dyDescent="0.25">
      <c r="A478" s="152"/>
      <c r="B478" s="155"/>
      <c r="C478" s="41"/>
      <c r="D478" s="42"/>
      <c r="E478" s="42"/>
      <c r="F478" s="42"/>
      <c r="G478" s="42"/>
      <c r="H478" s="41" t="s">
        <v>952</v>
      </c>
      <c r="I478" s="43" t="s">
        <v>340</v>
      </c>
      <c r="J478" s="44">
        <v>1</v>
      </c>
      <c r="K478" s="47">
        <v>1</v>
      </c>
      <c r="L478" s="41" t="s">
        <v>953</v>
      </c>
      <c r="M478" s="45"/>
    </row>
    <row r="479" spans="1:13" ht="157.5" x14ac:dyDescent="0.25">
      <c r="A479" s="152"/>
      <c r="B479" s="155"/>
      <c r="C479" s="41"/>
      <c r="D479" s="42"/>
      <c r="E479" s="42"/>
      <c r="F479" s="42"/>
      <c r="G479" s="42"/>
      <c r="H479" s="41" t="s">
        <v>954</v>
      </c>
      <c r="I479" s="43" t="s">
        <v>340</v>
      </c>
      <c r="J479" s="44">
        <v>10</v>
      </c>
      <c r="K479" s="72">
        <v>7</v>
      </c>
      <c r="L479" s="41" t="s">
        <v>955</v>
      </c>
      <c r="M479" s="45"/>
    </row>
    <row r="480" spans="1:13" ht="63" x14ac:dyDescent="0.25">
      <c r="A480" s="152"/>
      <c r="B480" s="155"/>
      <c r="C480" s="41"/>
      <c r="D480" s="42"/>
      <c r="E480" s="42"/>
      <c r="F480" s="42"/>
      <c r="G480" s="42"/>
      <c r="H480" s="41" t="s">
        <v>956</v>
      </c>
      <c r="I480" s="43" t="s">
        <v>340</v>
      </c>
      <c r="J480" s="44">
        <v>50</v>
      </c>
      <c r="K480" s="72">
        <v>32</v>
      </c>
      <c r="L480" s="41" t="s">
        <v>957</v>
      </c>
      <c r="M480" s="45" t="s">
        <v>1829</v>
      </c>
    </row>
    <row r="481" spans="1:13" ht="78.75" x14ac:dyDescent="0.25">
      <c r="A481" s="152"/>
      <c r="B481" s="155"/>
      <c r="C481" s="41"/>
      <c r="D481" s="42"/>
      <c r="E481" s="42"/>
      <c r="F481" s="42"/>
      <c r="G481" s="42"/>
      <c r="H481" s="41" t="s">
        <v>958</v>
      </c>
      <c r="I481" s="43" t="s">
        <v>340</v>
      </c>
      <c r="J481" s="44">
        <v>2</v>
      </c>
      <c r="K481" s="63">
        <v>3</v>
      </c>
      <c r="L481" s="41" t="s">
        <v>959</v>
      </c>
      <c r="M481" s="45"/>
    </row>
    <row r="482" spans="1:13" ht="78.75" x14ac:dyDescent="0.25">
      <c r="A482" s="152"/>
      <c r="B482" s="155"/>
      <c r="C482" s="41"/>
      <c r="D482" s="42"/>
      <c r="E482" s="42"/>
      <c r="F482" s="42"/>
      <c r="G482" s="42"/>
      <c r="H482" s="41" t="s">
        <v>960</v>
      </c>
      <c r="I482" s="43" t="s">
        <v>18</v>
      </c>
      <c r="J482" s="44">
        <v>1</v>
      </c>
      <c r="K482" s="47">
        <v>1</v>
      </c>
      <c r="L482" s="41" t="s">
        <v>961</v>
      </c>
      <c r="M482" s="45"/>
    </row>
    <row r="483" spans="1:13" ht="157.5" x14ac:dyDescent="0.25">
      <c r="A483" s="152"/>
      <c r="B483" s="155"/>
      <c r="C483" s="41"/>
      <c r="D483" s="42"/>
      <c r="E483" s="42"/>
      <c r="F483" s="42"/>
      <c r="G483" s="42"/>
      <c r="H483" s="41" t="s">
        <v>962</v>
      </c>
      <c r="I483" s="43" t="s">
        <v>18</v>
      </c>
      <c r="J483" s="44">
        <v>1</v>
      </c>
      <c r="K483" s="47">
        <v>1</v>
      </c>
      <c r="L483" s="41" t="s">
        <v>963</v>
      </c>
      <c r="M483" s="45"/>
    </row>
    <row r="484" spans="1:13" ht="31.5" x14ac:dyDescent="0.25">
      <c r="A484" s="152"/>
      <c r="B484" s="155"/>
      <c r="C484" s="41"/>
      <c r="D484" s="42"/>
      <c r="E484" s="42"/>
      <c r="F484" s="42"/>
      <c r="G484" s="42"/>
      <c r="H484" s="41" t="s">
        <v>964</v>
      </c>
      <c r="I484" s="43" t="s">
        <v>340</v>
      </c>
      <c r="J484" s="44">
        <v>1</v>
      </c>
      <c r="K484" s="47">
        <v>1</v>
      </c>
      <c r="L484" s="41" t="s">
        <v>965</v>
      </c>
      <c r="M484" s="45"/>
    </row>
    <row r="485" spans="1:13" ht="79.5" thickBot="1" x14ac:dyDescent="0.3">
      <c r="A485" s="153"/>
      <c r="B485" s="156"/>
      <c r="C485" s="41"/>
      <c r="D485" s="42"/>
      <c r="E485" s="42"/>
      <c r="F485" s="42"/>
      <c r="G485" s="42"/>
      <c r="H485" s="41" t="s">
        <v>966</v>
      </c>
      <c r="I485" s="43" t="s">
        <v>340</v>
      </c>
      <c r="J485" s="44">
        <v>2</v>
      </c>
      <c r="K485" s="47">
        <v>2</v>
      </c>
      <c r="L485" s="41" t="s">
        <v>967</v>
      </c>
      <c r="M485" s="45"/>
    </row>
    <row r="486" spans="1:13" ht="268.5" thickBot="1" x14ac:dyDescent="0.3">
      <c r="A486" s="64" t="s">
        <v>968</v>
      </c>
      <c r="B486" s="65" t="s">
        <v>969</v>
      </c>
      <c r="C486" s="33" t="s">
        <v>23</v>
      </c>
      <c r="D486" s="66">
        <v>20</v>
      </c>
      <c r="E486" s="66">
        <v>20</v>
      </c>
      <c r="F486" s="66"/>
      <c r="G486" s="35">
        <f t="shared" ref="G486:G497" si="17">SUM(E486/D486)</f>
        <v>1</v>
      </c>
      <c r="H486" s="33" t="s">
        <v>970</v>
      </c>
      <c r="I486" s="36" t="s">
        <v>340</v>
      </c>
      <c r="J486" s="37">
        <v>1200</v>
      </c>
      <c r="K486" s="38">
        <v>1200</v>
      </c>
      <c r="L486" s="33" t="s">
        <v>971</v>
      </c>
      <c r="M486" s="39" t="s">
        <v>1830</v>
      </c>
    </row>
    <row r="487" spans="1:13" ht="79.5" thickBot="1" x14ac:dyDescent="0.3">
      <c r="A487" s="64" t="s">
        <v>972</v>
      </c>
      <c r="B487" s="65" t="s">
        <v>973</v>
      </c>
      <c r="C487" s="33" t="s">
        <v>23</v>
      </c>
      <c r="D487" s="66">
        <v>83.8</v>
      </c>
      <c r="E487" s="66">
        <v>81.400000000000006</v>
      </c>
      <c r="F487" s="66">
        <v>2.4</v>
      </c>
      <c r="G487" s="35">
        <f t="shared" si="17"/>
        <v>0.97136038186157525</v>
      </c>
      <c r="H487" s="33" t="s">
        <v>974</v>
      </c>
      <c r="I487" s="36" t="s">
        <v>340</v>
      </c>
      <c r="J487" s="37">
        <v>5</v>
      </c>
      <c r="K487" s="38">
        <v>5</v>
      </c>
      <c r="L487" s="33" t="s">
        <v>975</v>
      </c>
      <c r="M487" s="39" t="s">
        <v>1831</v>
      </c>
    </row>
    <row r="488" spans="1:13" ht="48" thickBot="1" x14ac:dyDescent="0.3">
      <c r="A488" s="25" t="s">
        <v>976</v>
      </c>
      <c r="B488" s="26" t="s">
        <v>977</v>
      </c>
      <c r="C488" s="27"/>
      <c r="D488" s="28">
        <f>D489+D499+D504+D505+D514+D517+D526+D528+D529+D538+D539+D540+D549+D550+D551</f>
        <v>87521.700000000026</v>
      </c>
      <c r="E488" s="28">
        <f>E489+E499+E504+E505+E514+E517+E526+E528+E529+E538+E539+E540+E549+E550+E551-0.1</f>
        <v>83737.999999999971</v>
      </c>
      <c r="F488" s="28">
        <f>F489+F499+F504+F505+F514+F517+F526+F528+F529+F538+F539+F540+F549+F550+F551-0.1</f>
        <v>3783.6999999999994</v>
      </c>
      <c r="G488" s="29">
        <f t="shared" si="17"/>
        <v>0.95676843571365666</v>
      </c>
      <c r="H488" s="129"/>
      <c r="I488" s="130"/>
      <c r="J488" s="130"/>
      <c r="K488" s="130"/>
      <c r="L488" s="130"/>
      <c r="M488" s="131"/>
    </row>
    <row r="489" spans="1:13" ht="31.5" x14ac:dyDescent="0.25">
      <c r="A489" s="151" t="s">
        <v>978</v>
      </c>
      <c r="B489" s="154" t="s">
        <v>979</v>
      </c>
      <c r="C489" s="33"/>
      <c r="D489" s="34">
        <f>SUM(D490:D498)-0.1</f>
        <v>55054.30000000001</v>
      </c>
      <c r="E489" s="34">
        <f>SUM(E490:E498)</f>
        <v>52700.299999999996</v>
      </c>
      <c r="F489" s="34">
        <f>SUM(F490:F498)+0.1</f>
        <v>2354.1</v>
      </c>
      <c r="G489" s="53">
        <f t="shared" si="17"/>
        <v>0.95724221359639461</v>
      </c>
      <c r="H489" s="33" t="s">
        <v>980</v>
      </c>
      <c r="I489" s="36" t="s">
        <v>340</v>
      </c>
      <c r="J489" s="37">
        <v>32</v>
      </c>
      <c r="K489" s="62">
        <v>30</v>
      </c>
      <c r="L489" s="33" t="s">
        <v>981</v>
      </c>
      <c r="M489" s="39" t="s">
        <v>1832</v>
      </c>
    </row>
    <row r="490" spans="1:13" ht="47.25" x14ac:dyDescent="0.25">
      <c r="A490" s="152"/>
      <c r="B490" s="155"/>
      <c r="C490" s="41" t="s">
        <v>213</v>
      </c>
      <c r="D490" s="42">
        <v>1388.7</v>
      </c>
      <c r="E490" s="42">
        <v>881.5</v>
      </c>
      <c r="F490" s="42">
        <v>507.2</v>
      </c>
      <c r="G490" s="57">
        <f t="shared" si="17"/>
        <v>0.63476632822063794</v>
      </c>
      <c r="H490" s="58" t="s">
        <v>982</v>
      </c>
      <c r="I490" s="43" t="s">
        <v>340</v>
      </c>
      <c r="J490" s="44">
        <v>13500</v>
      </c>
      <c r="K490" s="63">
        <v>14343</v>
      </c>
      <c r="L490" s="41" t="s">
        <v>983</v>
      </c>
      <c r="M490" s="45"/>
    </row>
    <row r="491" spans="1:13" ht="31.5" x14ac:dyDescent="0.25">
      <c r="A491" s="152"/>
      <c r="B491" s="155"/>
      <c r="C491" s="41" t="s">
        <v>189</v>
      </c>
      <c r="D491" s="42">
        <v>693.6</v>
      </c>
      <c r="E491" s="42">
        <v>335.4</v>
      </c>
      <c r="F491" s="42">
        <v>358.2</v>
      </c>
      <c r="G491" s="57">
        <f t="shared" si="17"/>
        <v>0.48356401384083042</v>
      </c>
      <c r="H491" s="58" t="s">
        <v>984</v>
      </c>
      <c r="I491" s="43" t="s">
        <v>18</v>
      </c>
      <c r="J491" s="44">
        <v>1</v>
      </c>
      <c r="K491" s="47">
        <v>1</v>
      </c>
      <c r="L491" s="41"/>
      <c r="M491" s="45"/>
    </row>
    <row r="492" spans="1:13" ht="63" x14ac:dyDescent="0.25">
      <c r="A492" s="152"/>
      <c r="B492" s="155"/>
      <c r="C492" s="41" t="s">
        <v>985</v>
      </c>
      <c r="D492" s="42">
        <v>32853.4</v>
      </c>
      <c r="E492" s="42">
        <v>32751.1</v>
      </c>
      <c r="F492" s="42">
        <v>102.3</v>
      </c>
      <c r="G492" s="57">
        <f t="shared" si="17"/>
        <v>0.9968861670329402</v>
      </c>
      <c r="H492" s="58" t="s">
        <v>986</v>
      </c>
      <c r="I492" s="43" t="s">
        <v>340</v>
      </c>
      <c r="J492" s="44">
        <v>5000</v>
      </c>
      <c r="K492" s="63">
        <v>5826</v>
      </c>
      <c r="L492" s="41"/>
      <c r="M492" s="45"/>
    </row>
    <row r="493" spans="1:13" ht="94.5" x14ac:dyDescent="0.25">
      <c r="A493" s="152"/>
      <c r="B493" s="155"/>
      <c r="C493" s="41" t="s">
        <v>186</v>
      </c>
      <c r="D493" s="42">
        <v>974.5</v>
      </c>
      <c r="E493" s="42">
        <v>189.6</v>
      </c>
      <c r="F493" s="42">
        <v>784.9</v>
      </c>
      <c r="G493" s="57">
        <f t="shared" si="17"/>
        <v>0.19456131349409952</v>
      </c>
      <c r="H493" s="58" t="s">
        <v>987</v>
      </c>
      <c r="I493" s="43" t="s">
        <v>340</v>
      </c>
      <c r="J493" s="44">
        <v>280</v>
      </c>
      <c r="K493" s="63">
        <v>10109</v>
      </c>
      <c r="L493" s="41"/>
      <c r="M493" s="45"/>
    </row>
    <row r="494" spans="1:13" ht="63" x14ac:dyDescent="0.25">
      <c r="A494" s="152"/>
      <c r="B494" s="155"/>
      <c r="C494" s="41" t="s">
        <v>23</v>
      </c>
      <c r="D494" s="42">
        <v>10581.7</v>
      </c>
      <c r="E494" s="42">
        <v>10422.1</v>
      </c>
      <c r="F494" s="42">
        <v>159.5</v>
      </c>
      <c r="G494" s="57">
        <f t="shared" si="17"/>
        <v>0.98491735732443741</v>
      </c>
      <c r="H494" s="58" t="s">
        <v>988</v>
      </c>
      <c r="I494" s="43" t="s">
        <v>18</v>
      </c>
      <c r="J494" s="44">
        <v>1</v>
      </c>
      <c r="K494" s="47">
        <v>1</v>
      </c>
      <c r="L494" s="41"/>
      <c r="M494" s="45"/>
    </row>
    <row r="495" spans="1:13" ht="47.25" x14ac:dyDescent="0.25">
      <c r="A495" s="152"/>
      <c r="B495" s="155"/>
      <c r="C495" s="41" t="s">
        <v>183</v>
      </c>
      <c r="D495" s="42">
        <v>1463.5</v>
      </c>
      <c r="E495" s="42">
        <v>1122.5999999999999</v>
      </c>
      <c r="F495" s="42">
        <v>340.9</v>
      </c>
      <c r="G495" s="57">
        <f t="shared" si="17"/>
        <v>0.76706525452681917</v>
      </c>
      <c r="H495" s="58" t="s">
        <v>989</v>
      </c>
      <c r="I495" s="43" t="s">
        <v>340</v>
      </c>
      <c r="J495" s="44">
        <v>27</v>
      </c>
      <c r="K495" s="47">
        <v>27</v>
      </c>
      <c r="L495" s="41"/>
      <c r="M495" s="45"/>
    </row>
    <row r="496" spans="1:13" ht="47.25" x14ac:dyDescent="0.25">
      <c r="A496" s="152"/>
      <c r="B496" s="155"/>
      <c r="C496" s="41" t="s">
        <v>78</v>
      </c>
      <c r="D496" s="42">
        <v>6509.9</v>
      </c>
      <c r="E496" s="42">
        <v>6431.2</v>
      </c>
      <c r="F496" s="42">
        <v>78.7</v>
      </c>
      <c r="G496" s="57">
        <f t="shared" si="17"/>
        <v>0.98791072059478646</v>
      </c>
      <c r="H496" s="58" t="s">
        <v>990</v>
      </c>
      <c r="I496" s="43" t="s">
        <v>318</v>
      </c>
      <c r="J496" s="44">
        <v>12.4</v>
      </c>
      <c r="K496" s="72">
        <v>11.3</v>
      </c>
      <c r="L496" s="41"/>
      <c r="M496" s="45"/>
    </row>
    <row r="497" spans="1:13" ht="110.25" x14ac:dyDescent="0.25">
      <c r="A497" s="152"/>
      <c r="B497" s="155"/>
      <c r="C497" s="41" t="s">
        <v>37</v>
      </c>
      <c r="D497" s="42">
        <v>589.1</v>
      </c>
      <c r="E497" s="42">
        <v>566.79999999999995</v>
      </c>
      <c r="F497" s="42">
        <v>22.3</v>
      </c>
      <c r="G497" s="57">
        <f t="shared" si="17"/>
        <v>0.96214564590052609</v>
      </c>
      <c r="H497" s="58" t="s">
        <v>991</v>
      </c>
      <c r="I497" s="43" t="s">
        <v>340</v>
      </c>
      <c r="J497" s="44">
        <v>13172</v>
      </c>
      <c r="K497" s="72">
        <v>13131</v>
      </c>
      <c r="L497" s="41"/>
      <c r="M497" s="45" t="s">
        <v>1833</v>
      </c>
    </row>
    <row r="498" spans="1:13" ht="95.25" thickBot="1" x14ac:dyDescent="0.3">
      <c r="A498" s="153"/>
      <c r="B498" s="156"/>
      <c r="C498" s="41"/>
      <c r="D498" s="42"/>
      <c r="E498" s="42"/>
      <c r="F498" s="42"/>
      <c r="G498" s="61"/>
      <c r="H498" s="41" t="s">
        <v>992</v>
      </c>
      <c r="I498" s="43" t="s">
        <v>27</v>
      </c>
      <c r="J498" s="44">
        <v>10</v>
      </c>
      <c r="K498" s="47">
        <v>10</v>
      </c>
      <c r="L498" s="41"/>
      <c r="M498" s="45"/>
    </row>
    <row r="499" spans="1:13" ht="78.75" x14ac:dyDescent="0.25">
      <c r="A499" s="151" t="s">
        <v>993</v>
      </c>
      <c r="B499" s="154" t="s">
        <v>994</v>
      </c>
      <c r="C499" s="33"/>
      <c r="D499" s="34">
        <f>SUM(D500:D502)+0.1</f>
        <v>93.399999999999991</v>
      </c>
      <c r="E499" s="34">
        <f>SUM(E500:E502)</f>
        <v>32.9</v>
      </c>
      <c r="F499" s="34">
        <f>SUM(F500:F502)</f>
        <v>60.5</v>
      </c>
      <c r="G499" s="35">
        <f>SUM(E499/D499)</f>
        <v>0.35224839400428265</v>
      </c>
      <c r="H499" s="33" t="s">
        <v>995</v>
      </c>
      <c r="I499" s="36" t="s">
        <v>340</v>
      </c>
      <c r="J499" s="37">
        <v>60</v>
      </c>
      <c r="K499" s="62">
        <v>56</v>
      </c>
      <c r="L499" s="33"/>
      <c r="M499" s="39"/>
    </row>
    <row r="500" spans="1:13" ht="48" thickBot="1" x14ac:dyDescent="0.3">
      <c r="A500" s="153"/>
      <c r="B500" s="156"/>
      <c r="C500" s="41"/>
      <c r="D500" s="42"/>
      <c r="E500" s="42"/>
      <c r="F500" s="42"/>
      <c r="G500" s="42"/>
      <c r="H500" s="41" t="s">
        <v>996</v>
      </c>
      <c r="I500" s="43" t="s">
        <v>340</v>
      </c>
      <c r="J500" s="44">
        <v>32</v>
      </c>
      <c r="K500" s="72">
        <v>30</v>
      </c>
      <c r="L500" s="41"/>
      <c r="M500" s="45"/>
    </row>
    <row r="501" spans="1:13" ht="48" thickBot="1" x14ac:dyDescent="0.3">
      <c r="A501" s="64" t="s">
        <v>997</v>
      </c>
      <c r="B501" s="65" t="s">
        <v>998</v>
      </c>
      <c r="C501" s="33" t="s">
        <v>985</v>
      </c>
      <c r="D501" s="66">
        <v>32.9</v>
      </c>
      <c r="E501" s="66">
        <v>32.9</v>
      </c>
      <c r="F501" s="66">
        <v>0.1</v>
      </c>
      <c r="G501" s="35">
        <f>SUM(E501/D501)</f>
        <v>1</v>
      </c>
      <c r="H501" s="33" t="s">
        <v>999</v>
      </c>
      <c r="I501" s="36" t="s">
        <v>340</v>
      </c>
      <c r="J501" s="37">
        <v>800</v>
      </c>
      <c r="K501" s="60">
        <v>958</v>
      </c>
      <c r="L501" s="33" t="s">
        <v>1000</v>
      </c>
      <c r="M501" s="39" t="s">
        <v>1834</v>
      </c>
    </row>
    <row r="502" spans="1:13" ht="141.75" x14ac:dyDescent="0.25">
      <c r="A502" s="151" t="s">
        <v>1001</v>
      </c>
      <c r="B502" s="154" t="s">
        <v>1002</v>
      </c>
      <c r="C502" s="33"/>
      <c r="D502" s="34">
        <f>SUM(D503:D503)</f>
        <v>60.4</v>
      </c>
      <c r="E502" s="34"/>
      <c r="F502" s="34">
        <f>SUM(F503:F503)</f>
        <v>60.4</v>
      </c>
      <c r="G502" s="35">
        <f>SUM(E502/D502)</f>
        <v>0</v>
      </c>
      <c r="H502" s="33" t="s">
        <v>1003</v>
      </c>
      <c r="I502" s="36" t="s">
        <v>340</v>
      </c>
      <c r="J502" s="37">
        <v>60</v>
      </c>
      <c r="K502" s="62">
        <v>56</v>
      </c>
      <c r="L502" s="33" t="s">
        <v>1004</v>
      </c>
      <c r="M502" s="39" t="s">
        <v>1835</v>
      </c>
    </row>
    <row r="503" spans="1:13" ht="16.5" thickBot="1" x14ac:dyDescent="0.3">
      <c r="A503" s="153"/>
      <c r="B503" s="156"/>
      <c r="C503" s="41" t="s">
        <v>78</v>
      </c>
      <c r="D503" s="42">
        <v>60.4</v>
      </c>
      <c r="E503" s="42"/>
      <c r="F503" s="42">
        <v>60.4</v>
      </c>
      <c r="G503" s="61">
        <f>SUM(E503/D503)</f>
        <v>0</v>
      </c>
      <c r="H503" s="41"/>
      <c r="I503" s="43"/>
      <c r="J503" s="44"/>
      <c r="K503" s="44"/>
      <c r="L503" s="41"/>
      <c r="M503" s="45"/>
    </row>
    <row r="504" spans="1:13" ht="48" thickBot="1" x14ac:dyDescent="0.3">
      <c r="A504" s="64" t="s">
        <v>1005</v>
      </c>
      <c r="B504" s="65" t="s">
        <v>1006</v>
      </c>
      <c r="C504" s="33" t="s">
        <v>23</v>
      </c>
      <c r="D504" s="66">
        <v>61.3</v>
      </c>
      <c r="E504" s="66">
        <v>59.1</v>
      </c>
      <c r="F504" s="66">
        <v>2.2000000000000002</v>
      </c>
      <c r="G504" s="35">
        <f>SUM(E504/D504)</f>
        <v>0.96411092985318114</v>
      </c>
      <c r="H504" s="33" t="s">
        <v>1007</v>
      </c>
      <c r="I504" s="36" t="s">
        <v>340</v>
      </c>
      <c r="J504" s="37">
        <v>800</v>
      </c>
      <c r="K504" s="62">
        <v>507</v>
      </c>
      <c r="L504" s="33" t="s">
        <v>1008</v>
      </c>
      <c r="M504" s="39" t="s">
        <v>1836</v>
      </c>
    </row>
    <row r="505" spans="1:13" ht="120" customHeight="1" x14ac:dyDescent="0.25">
      <c r="A505" s="151" t="s">
        <v>1009</v>
      </c>
      <c r="B505" s="154" t="s">
        <v>1010</v>
      </c>
      <c r="C505" s="33"/>
      <c r="D505" s="34">
        <f>D506+D507+D510+D513</f>
        <v>815.9</v>
      </c>
      <c r="E505" s="34">
        <f>E506+E507+E510+E513</f>
        <v>815.9</v>
      </c>
      <c r="F505" s="34"/>
      <c r="G505" s="35">
        <f>SUM(E505/D505)</f>
        <v>1</v>
      </c>
      <c r="H505" s="33" t="s">
        <v>1011</v>
      </c>
      <c r="I505" s="36" t="s">
        <v>340</v>
      </c>
      <c r="J505" s="37">
        <v>2</v>
      </c>
      <c r="K505" s="38">
        <v>2</v>
      </c>
      <c r="L505" s="33"/>
      <c r="M505" s="39"/>
    </row>
    <row r="506" spans="1:13" ht="48" thickBot="1" x14ac:dyDescent="0.3">
      <c r="A506" s="153"/>
      <c r="B506" s="156"/>
      <c r="C506" s="41"/>
      <c r="D506" s="42"/>
      <c r="E506" s="42"/>
      <c r="F506" s="42"/>
      <c r="G506" s="42"/>
      <c r="H506" s="41" t="s">
        <v>1012</v>
      </c>
      <c r="I506" s="43" t="s">
        <v>340</v>
      </c>
      <c r="J506" s="44">
        <v>1</v>
      </c>
      <c r="K506" s="47">
        <v>1</v>
      </c>
      <c r="L506" s="41"/>
      <c r="M506" s="45" t="s">
        <v>1830</v>
      </c>
    </row>
    <row r="507" spans="1:13" ht="30" customHeight="1" x14ac:dyDescent="0.25">
      <c r="A507" s="151" t="s">
        <v>1013</v>
      </c>
      <c r="B507" s="154" t="s">
        <v>1014</v>
      </c>
      <c r="C507" s="33"/>
      <c r="D507" s="34">
        <f>SUM(D508:D509)</f>
        <v>486.20000000000005</v>
      </c>
      <c r="E507" s="34">
        <f>SUM(E508:E509)</f>
        <v>486.20000000000005</v>
      </c>
      <c r="F507" s="34"/>
      <c r="G507" s="53">
        <f t="shared" ref="G507:G551" si="18">SUM(E507/D507)</f>
        <v>1</v>
      </c>
      <c r="H507" s="33" t="s">
        <v>1015</v>
      </c>
      <c r="I507" s="36" t="s">
        <v>340</v>
      </c>
      <c r="J507" s="37">
        <v>1</v>
      </c>
      <c r="K507" s="38">
        <v>1</v>
      </c>
      <c r="L507" s="33"/>
      <c r="M507" s="39"/>
    </row>
    <row r="508" spans="1:13" x14ac:dyDescent="0.25">
      <c r="A508" s="152"/>
      <c r="B508" s="155"/>
      <c r="C508" s="41" t="s">
        <v>985</v>
      </c>
      <c r="D508" s="42">
        <v>485.6</v>
      </c>
      <c r="E508" s="42">
        <v>485.6</v>
      </c>
      <c r="F508" s="42"/>
      <c r="G508" s="57">
        <f t="shared" si="18"/>
        <v>1</v>
      </c>
      <c r="H508" s="58"/>
      <c r="I508" s="43"/>
      <c r="J508" s="44"/>
      <c r="K508" s="44"/>
      <c r="L508" s="41"/>
      <c r="M508" s="45"/>
    </row>
    <row r="509" spans="1:13" ht="16.5" thickBot="1" x14ac:dyDescent="0.3">
      <c r="A509" s="153"/>
      <c r="B509" s="156"/>
      <c r="C509" s="41" t="s">
        <v>78</v>
      </c>
      <c r="D509" s="42">
        <v>0.6</v>
      </c>
      <c r="E509" s="42">
        <v>0.6</v>
      </c>
      <c r="F509" s="42"/>
      <c r="G509" s="61">
        <f t="shared" si="18"/>
        <v>1</v>
      </c>
      <c r="H509" s="41"/>
      <c r="I509" s="43"/>
      <c r="J509" s="44"/>
      <c r="K509" s="44"/>
      <c r="L509" s="41"/>
      <c r="M509" s="45"/>
    </row>
    <row r="510" spans="1:13" ht="30" customHeight="1" x14ac:dyDescent="0.25">
      <c r="A510" s="151" t="s">
        <v>1016</v>
      </c>
      <c r="B510" s="154" t="s">
        <v>1017</v>
      </c>
      <c r="C510" s="33"/>
      <c r="D510" s="34">
        <f>SUM(D511:D512)</f>
        <v>273.89999999999998</v>
      </c>
      <c r="E510" s="34">
        <f>SUM(E511:E512)</f>
        <v>273.89999999999998</v>
      </c>
      <c r="F510" s="34"/>
      <c r="G510" s="53">
        <f t="shared" si="18"/>
        <v>1</v>
      </c>
      <c r="H510" s="33" t="s">
        <v>1015</v>
      </c>
      <c r="I510" s="36" t="s">
        <v>340</v>
      </c>
      <c r="J510" s="37">
        <v>1</v>
      </c>
      <c r="K510" s="38">
        <v>1</v>
      </c>
      <c r="L510" s="33"/>
      <c r="M510" s="39"/>
    </row>
    <row r="511" spans="1:13" x14ac:dyDescent="0.25">
      <c r="A511" s="152"/>
      <c r="B511" s="155"/>
      <c r="C511" s="41" t="s">
        <v>985</v>
      </c>
      <c r="D511" s="42">
        <v>273.7</v>
      </c>
      <c r="E511" s="42">
        <v>273.7</v>
      </c>
      <c r="F511" s="42"/>
      <c r="G511" s="57">
        <f t="shared" si="18"/>
        <v>1</v>
      </c>
      <c r="H511" s="58"/>
      <c r="I511" s="43"/>
      <c r="J511" s="44"/>
      <c r="K511" s="44"/>
      <c r="L511" s="41"/>
      <c r="M511" s="45"/>
    </row>
    <row r="512" spans="1:13" ht="16.5" thickBot="1" x14ac:dyDescent="0.3">
      <c r="A512" s="153"/>
      <c r="B512" s="156"/>
      <c r="C512" s="41" t="s">
        <v>23</v>
      </c>
      <c r="D512" s="42">
        <v>0.2</v>
      </c>
      <c r="E512" s="42">
        <v>0.2</v>
      </c>
      <c r="F512" s="42"/>
      <c r="G512" s="61">
        <f t="shared" si="18"/>
        <v>1</v>
      </c>
      <c r="H512" s="41"/>
      <c r="I512" s="43"/>
      <c r="J512" s="44"/>
      <c r="K512" s="44"/>
      <c r="L512" s="41"/>
      <c r="M512" s="45"/>
    </row>
    <row r="513" spans="1:13" ht="63.75" thickBot="1" x14ac:dyDescent="0.3">
      <c r="A513" s="64" t="s">
        <v>1018</v>
      </c>
      <c r="B513" s="65" t="s">
        <v>1019</v>
      </c>
      <c r="C513" s="33" t="s">
        <v>23</v>
      </c>
      <c r="D513" s="66">
        <v>55.8</v>
      </c>
      <c r="E513" s="66">
        <v>55.8</v>
      </c>
      <c r="F513" s="66"/>
      <c r="G513" s="35">
        <f t="shared" si="18"/>
        <v>1</v>
      </c>
      <c r="H513" s="33" t="s">
        <v>1015</v>
      </c>
      <c r="I513" s="36" t="s">
        <v>340</v>
      </c>
      <c r="J513" s="37">
        <v>1</v>
      </c>
      <c r="K513" s="38">
        <v>1</v>
      </c>
      <c r="L513" s="33"/>
      <c r="M513" s="39"/>
    </row>
    <row r="514" spans="1:13" ht="126" x14ac:dyDescent="0.25">
      <c r="A514" s="151" t="s">
        <v>1020</v>
      </c>
      <c r="B514" s="154" t="s">
        <v>1021</v>
      </c>
      <c r="C514" s="33"/>
      <c r="D514" s="34">
        <f>SUM(D515:D516)</f>
        <v>347.90000000000003</v>
      </c>
      <c r="E514" s="34">
        <f>SUM(E515:E516)</f>
        <v>298.10000000000002</v>
      </c>
      <c r="F514" s="34">
        <f>SUM(F515:F516)</f>
        <v>49.8</v>
      </c>
      <c r="G514" s="53">
        <f t="shared" si="18"/>
        <v>0.85685541822362743</v>
      </c>
      <c r="H514" s="33" t="s">
        <v>1022</v>
      </c>
      <c r="I514" s="36" t="s">
        <v>340</v>
      </c>
      <c r="J514" s="37">
        <v>6</v>
      </c>
      <c r="K514" s="38">
        <v>6</v>
      </c>
      <c r="L514" s="33" t="s">
        <v>1023</v>
      </c>
      <c r="M514" s="39" t="s">
        <v>1837</v>
      </c>
    </row>
    <row r="515" spans="1:13" x14ac:dyDescent="0.25">
      <c r="A515" s="152"/>
      <c r="B515" s="155"/>
      <c r="C515" s="41" t="s">
        <v>208</v>
      </c>
      <c r="D515" s="42">
        <v>298.10000000000002</v>
      </c>
      <c r="E515" s="42">
        <v>298.10000000000002</v>
      </c>
      <c r="F515" s="42"/>
      <c r="G515" s="57">
        <f t="shared" si="18"/>
        <v>1</v>
      </c>
      <c r="H515" s="58"/>
      <c r="I515" s="43"/>
      <c r="J515" s="44"/>
      <c r="K515" s="44"/>
      <c r="L515" s="41"/>
      <c r="M515" s="45"/>
    </row>
    <row r="516" spans="1:13" ht="16.5" thickBot="1" x14ac:dyDescent="0.3">
      <c r="A516" s="153"/>
      <c r="B516" s="156"/>
      <c r="C516" s="41" t="s">
        <v>23</v>
      </c>
      <c r="D516" s="42">
        <v>49.8</v>
      </c>
      <c r="E516" s="42"/>
      <c r="F516" s="42">
        <v>49.8</v>
      </c>
      <c r="G516" s="61">
        <f t="shared" si="18"/>
        <v>0</v>
      </c>
      <c r="H516" s="41"/>
      <c r="I516" s="43"/>
      <c r="J516" s="44"/>
      <c r="K516" s="44"/>
      <c r="L516" s="41"/>
      <c r="M516" s="45"/>
    </row>
    <row r="517" spans="1:13" ht="31.5" x14ac:dyDescent="0.25">
      <c r="A517" s="151" t="s">
        <v>1024</v>
      </c>
      <c r="B517" s="154" t="s">
        <v>1025</v>
      </c>
      <c r="C517" s="33"/>
      <c r="D517" s="34">
        <f>SUM(D518:D525)</f>
        <v>5305</v>
      </c>
      <c r="E517" s="34">
        <f>SUM(E518:E525)+0.1</f>
        <v>5094.8000000000011</v>
      </c>
      <c r="F517" s="34">
        <f>SUM(F518:F525)-0.1</f>
        <v>210.2</v>
      </c>
      <c r="G517" s="53">
        <f t="shared" si="18"/>
        <v>0.96037700282752136</v>
      </c>
      <c r="H517" s="33" t="s">
        <v>1026</v>
      </c>
      <c r="I517" s="36" t="s">
        <v>340</v>
      </c>
      <c r="J517" s="37">
        <v>10</v>
      </c>
      <c r="K517" s="38">
        <v>10</v>
      </c>
      <c r="L517" s="33" t="s">
        <v>1027</v>
      </c>
      <c r="M517" s="39" t="s">
        <v>1838</v>
      </c>
    </row>
    <row r="518" spans="1:13" ht="47.25" x14ac:dyDescent="0.25">
      <c r="A518" s="152"/>
      <c r="B518" s="155"/>
      <c r="C518" s="41" t="s">
        <v>189</v>
      </c>
      <c r="D518" s="42">
        <v>88.1</v>
      </c>
      <c r="E518" s="42">
        <v>29.5</v>
      </c>
      <c r="F518" s="42">
        <v>58.6</v>
      </c>
      <c r="G518" s="57">
        <f t="shared" si="18"/>
        <v>0.3348467650397276</v>
      </c>
      <c r="H518" s="58" t="s">
        <v>1028</v>
      </c>
      <c r="I518" s="43" t="s">
        <v>340</v>
      </c>
      <c r="J518" s="44">
        <v>4450</v>
      </c>
      <c r="K518" s="63">
        <v>4496</v>
      </c>
      <c r="L518" s="41"/>
      <c r="M518" s="45"/>
    </row>
    <row r="519" spans="1:13" ht="31.5" x14ac:dyDescent="0.25">
      <c r="A519" s="152"/>
      <c r="B519" s="155"/>
      <c r="C519" s="41" t="s">
        <v>186</v>
      </c>
      <c r="D519" s="42">
        <v>13.7</v>
      </c>
      <c r="E519" s="42"/>
      <c r="F519" s="42">
        <v>13.7</v>
      </c>
      <c r="G519" s="57">
        <f t="shared" si="18"/>
        <v>0</v>
      </c>
      <c r="H519" s="58" t="s">
        <v>1029</v>
      </c>
      <c r="I519" s="43" t="s">
        <v>340</v>
      </c>
      <c r="J519" s="44">
        <v>44</v>
      </c>
      <c r="K519" s="47">
        <v>44</v>
      </c>
      <c r="L519" s="41"/>
      <c r="M519" s="45"/>
    </row>
    <row r="520" spans="1:13" ht="110.25" x14ac:dyDescent="0.25">
      <c r="A520" s="152"/>
      <c r="B520" s="155"/>
      <c r="C520" s="41" t="s">
        <v>213</v>
      </c>
      <c r="D520" s="42">
        <v>130.4</v>
      </c>
      <c r="E520" s="42">
        <v>94.5</v>
      </c>
      <c r="F520" s="42">
        <v>35.9</v>
      </c>
      <c r="G520" s="57">
        <f t="shared" si="18"/>
        <v>0.72469325153374231</v>
      </c>
      <c r="H520" s="58" t="s">
        <v>1030</v>
      </c>
      <c r="I520" s="43" t="s">
        <v>340</v>
      </c>
      <c r="J520" s="44">
        <v>2000</v>
      </c>
      <c r="K520" s="63">
        <v>2070</v>
      </c>
      <c r="L520" s="41"/>
      <c r="M520" s="45"/>
    </row>
    <row r="521" spans="1:13" ht="31.5" x14ac:dyDescent="0.25">
      <c r="A521" s="152"/>
      <c r="B521" s="155"/>
      <c r="C521" s="41" t="s">
        <v>183</v>
      </c>
      <c r="D521" s="42">
        <v>381.8</v>
      </c>
      <c r="E521" s="42">
        <v>307.89999999999998</v>
      </c>
      <c r="F521" s="42">
        <v>73.900000000000006</v>
      </c>
      <c r="G521" s="57">
        <f t="shared" si="18"/>
        <v>0.80644316396018845</v>
      </c>
      <c r="H521" s="58" t="s">
        <v>1031</v>
      </c>
      <c r="I521" s="43" t="s">
        <v>340</v>
      </c>
      <c r="J521" s="44">
        <v>64</v>
      </c>
      <c r="K521" s="63">
        <v>65</v>
      </c>
      <c r="L521" s="41"/>
      <c r="M521" s="45"/>
    </row>
    <row r="522" spans="1:13" ht="31.5" x14ac:dyDescent="0.25">
      <c r="A522" s="152"/>
      <c r="B522" s="155"/>
      <c r="C522" s="41" t="s">
        <v>37</v>
      </c>
      <c r="D522" s="42">
        <v>133.9</v>
      </c>
      <c r="E522" s="42">
        <v>132.6</v>
      </c>
      <c r="F522" s="42">
        <v>1.3</v>
      </c>
      <c r="G522" s="57">
        <f t="shared" si="18"/>
        <v>0.99029126213592222</v>
      </c>
      <c r="H522" s="58" t="s">
        <v>1032</v>
      </c>
      <c r="I522" s="43" t="s">
        <v>340</v>
      </c>
      <c r="J522" s="44">
        <v>131</v>
      </c>
      <c r="K522" s="63">
        <v>1053</v>
      </c>
      <c r="L522" s="41"/>
      <c r="M522" s="45"/>
    </row>
    <row r="523" spans="1:13" x14ac:dyDescent="0.25">
      <c r="A523" s="152"/>
      <c r="B523" s="155"/>
      <c r="C523" s="41" t="s">
        <v>23</v>
      </c>
      <c r="D523" s="42">
        <v>3904.3</v>
      </c>
      <c r="E523" s="42">
        <v>3877.6</v>
      </c>
      <c r="F523" s="42">
        <v>26.7</v>
      </c>
      <c r="G523" s="57">
        <f t="shared" si="18"/>
        <v>0.99316138616397298</v>
      </c>
      <c r="H523" s="58"/>
      <c r="I523" s="43"/>
      <c r="J523" s="44"/>
      <c r="K523" s="44"/>
      <c r="L523" s="41"/>
      <c r="M523" s="45"/>
    </row>
    <row r="524" spans="1:13" x14ac:dyDescent="0.25">
      <c r="A524" s="152"/>
      <c r="B524" s="155"/>
      <c r="C524" s="41" t="s">
        <v>985</v>
      </c>
      <c r="D524" s="42">
        <v>299.7</v>
      </c>
      <c r="E524" s="42">
        <v>299.5</v>
      </c>
      <c r="F524" s="42">
        <v>0.2</v>
      </c>
      <c r="G524" s="57">
        <f t="shared" si="18"/>
        <v>0.99933266599933268</v>
      </c>
      <c r="H524" s="58"/>
      <c r="I524" s="43"/>
      <c r="J524" s="44"/>
      <c r="K524" s="44"/>
      <c r="L524" s="41"/>
      <c r="M524" s="45"/>
    </row>
    <row r="525" spans="1:13" ht="16.5" thickBot="1" x14ac:dyDescent="0.3">
      <c r="A525" s="153"/>
      <c r="B525" s="156"/>
      <c r="C525" s="41" t="s">
        <v>78</v>
      </c>
      <c r="D525" s="42">
        <v>353.1</v>
      </c>
      <c r="E525" s="42">
        <v>353.1</v>
      </c>
      <c r="F525" s="42"/>
      <c r="G525" s="61">
        <f t="shared" si="18"/>
        <v>1</v>
      </c>
      <c r="H525" s="41"/>
      <c r="I525" s="43"/>
      <c r="J525" s="44"/>
      <c r="K525" s="44"/>
      <c r="L525" s="41"/>
      <c r="M525" s="45"/>
    </row>
    <row r="526" spans="1:13" ht="110.25" x14ac:dyDescent="0.25">
      <c r="A526" s="151" t="s">
        <v>1033</v>
      </c>
      <c r="B526" s="154" t="s">
        <v>1034</v>
      </c>
      <c r="C526" s="33"/>
      <c r="D526" s="34">
        <f>SUM(D527:D527)</f>
        <v>716.4</v>
      </c>
      <c r="E526" s="34">
        <f>SUM(E527:E527)</f>
        <v>385.1</v>
      </c>
      <c r="F526" s="34">
        <f>SUM(F527:F527)</f>
        <v>331.3</v>
      </c>
      <c r="G526" s="35">
        <f t="shared" si="18"/>
        <v>0.53754885538805142</v>
      </c>
      <c r="H526" s="33" t="s">
        <v>1030</v>
      </c>
      <c r="I526" s="36" t="s">
        <v>340</v>
      </c>
      <c r="J526" s="37">
        <v>2000</v>
      </c>
      <c r="K526" s="60">
        <v>2499</v>
      </c>
      <c r="L526" s="33" t="s">
        <v>1035</v>
      </c>
      <c r="M526" s="39" t="s">
        <v>1839</v>
      </c>
    </row>
    <row r="527" spans="1:13" ht="16.5" thickBot="1" x14ac:dyDescent="0.3">
      <c r="A527" s="153"/>
      <c r="B527" s="156"/>
      <c r="C527" s="41" t="s">
        <v>78</v>
      </c>
      <c r="D527" s="42">
        <v>716.4</v>
      </c>
      <c r="E527" s="42">
        <v>385.1</v>
      </c>
      <c r="F527" s="42">
        <v>331.3</v>
      </c>
      <c r="G527" s="61">
        <f t="shared" si="18"/>
        <v>0.53754885538805142</v>
      </c>
      <c r="H527" s="41"/>
      <c r="I527" s="43"/>
      <c r="J527" s="44"/>
      <c r="K527" s="44"/>
      <c r="L527" s="41"/>
      <c r="M527" s="45"/>
    </row>
    <row r="528" spans="1:13" ht="63.75" thickBot="1" x14ac:dyDescent="0.3">
      <c r="A528" s="64" t="s">
        <v>1036</v>
      </c>
      <c r="B528" s="65" t="s">
        <v>1037</v>
      </c>
      <c r="C528" s="33" t="s">
        <v>23</v>
      </c>
      <c r="D528" s="66">
        <v>32</v>
      </c>
      <c r="E528" s="66">
        <v>32</v>
      </c>
      <c r="F528" s="66"/>
      <c r="G528" s="35">
        <f t="shared" si="18"/>
        <v>1</v>
      </c>
      <c r="H528" s="33" t="s">
        <v>1038</v>
      </c>
      <c r="I528" s="36" t="s">
        <v>340</v>
      </c>
      <c r="J528" s="37">
        <v>100</v>
      </c>
      <c r="K528" s="60">
        <v>109</v>
      </c>
      <c r="L528" s="33" t="s">
        <v>1039</v>
      </c>
      <c r="M528" s="39" t="s">
        <v>1824</v>
      </c>
    </row>
    <row r="529" spans="1:13" ht="31.5" x14ac:dyDescent="0.25">
      <c r="A529" s="151" t="s">
        <v>1040</v>
      </c>
      <c r="B529" s="154" t="s">
        <v>1041</v>
      </c>
      <c r="C529" s="33"/>
      <c r="D529" s="34">
        <f>SUM(D530:D537)-0.1</f>
        <v>23593</v>
      </c>
      <c r="E529" s="34">
        <f>SUM(E530:E537)</f>
        <v>22894.700000000004</v>
      </c>
      <c r="F529" s="34">
        <f>SUM(F530:F537)</f>
        <v>698.3</v>
      </c>
      <c r="G529" s="53">
        <f t="shared" si="18"/>
        <v>0.97040223795193503</v>
      </c>
      <c r="H529" s="33" t="s">
        <v>1042</v>
      </c>
      <c r="I529" s="36" t="s">
        <v>340</v>
      </c>
      <c r="J529" s="37">
        <v>28</v>
      </c>
      <c r="K529" s="62">
        <v>25</v>
      </c>
      <c r="L529" s="33" t="s">
        <v>1043</v>
      </c>
      <c r="M529" s="39" t="s">
        <v>1840</v>
      </c>
    </row>
    <row r="530" spans="1:13" ht="47.25" x14ac:dyDescent="0.25">
      <c r="A530" s="152"/>
      <c r="B530" s="155"/>
      <c r="C530" s="41" t="s">
        <v>985</v>
      </c>
      <c r="D530" s="42">
        <v>9818</v>
      </c>
      <c r="E530" s="42">
        <v>9803.5</v>
      </c>
      <c r="F530" s="42">
        <v>14.5</v>
      </c>
      <c r="G530" s="57">
        <f t="shared" si="18"/>
        <v>0.99852312079853334</v>
      </c>
      <c r="H530" s="58" t="s">
        <v>1044</v>
      </c>
      <c r="I530" s="43" t="s">
        <v>340</v>
      </c>
      <c r="J530" s="44">
        <v>4300</v>
      </c>
      <c r="K530" s="63">
        <v>4737</v>
      </c>
      <c r="L530" s="41"/>
      <c r="M530" s="45"/>
    </row>
    <row r="531" spans="1:13" x14ac:dyDescent="0.25">
      <c r="A531" s="152"/>
      <c r="B531" s="155"/>
      <c r="C531" s="41" t="s">
        <v>189</v>
      </c>
      <c r="D531" s="42">
        <v>92.1</v>
      </c>
      <c r="E531" s="42">
        <v>46.5</v>
      </c>
      <c r="F531" s="42">
        <v>45.6</v>
      </c>
      <c r="G531" s="57">
        <f t="shared" si="18"/>
        <v>0.50488599348534202</v>
      </c>
      <c r="H531" s="58"/>
      <c r="I531" s="43"/>
      <c r="J531" s="44"/>
      <c r="K531" s="44"/>
      <c r="L531" s="41"/>
      <c r="M531" s="45"/>
    </row>
    <row r="532" spans="1:13" x14ac:dyDescent="0.25">
      <c r="A532" s="152"/>
      <c r="B532" s="155"/>
      <c r="C532" s="41" t="s">
        <v>213</v>
      </c>
      <c r="D532" s="42">
        <v>144.5</v>
      </c>
      <c r="E532" s="42">
        <v>88.4</v>
      </c>
      <c r="F532" s="42">
        <v>56.1</v>
      </c>
      <c r="G532" s="57">
        <f t="shared" si="18"/>
        <v>0.61176470588235299</v>
      </c>
      <c r="H532" s="58"/>
      <c r="I532" s="43"/>
      <c r="J532" s="44"/>
      <c r="K532" s="44"/>
      <c r="L532" s="41"/>
      <c r="M532" s="45"/>
    </row>
    <row r="533" spans="1:13" x14ac:dyDescent="0.25">
      <c r="A533" s="152"/>
      <c r="B533" s="155"/>
      <c r="C533" s="41" t="s">
        <v>186</v>
      </c>
      <c r="D533" s="42">
        <v>203.2</v>
      </c>
      <c r="E533" s="42">
        <v>52.5</v>
      </c>
      <c r="F533" s="42">
        <v>150.69999999999999</v>
      </c>
      <c r="G533" s="57">
        <f t="shared" si="18"/>
        <v>0.25836614173228351</v>
      </c>
      <c r="H533" s="58"/>
      <c r="I533" s="43"/>
      <c r="J533" s="44"/>
      <c r="K533" s="44"/>
      <c r="L533" s="41"/>
      <c r="M533" s="45"/>
    </row>
    <row r="534" spans="1:13" x14ac:dyDescent="0.25">
      <c r="A534" s="152"/>
      <c r="B534" s="155"/>
      <c r="C534" s="41" t="s">
        <v>78</v>
      </c>
      <c r="D534" s="42">
        <v>705.1</v>
      </c>
      <c r="E534" s="42">
        <v>704.1</v>
      </c>
      <c r="F534" s="42">
        <v>0.9</v>
      </c>
      <c r="G534" s="57">
        <f t="shared" si="18"/>
        <v>0.99858176145227628</v>
      </c>
      <c r="H534" s="58"/>
      <c r="I534" s="43"/>
      <c r="J534" s="44"/>
      <c r="K534" s="44"/>
      <c r="L534" s="41"/>
      <c r="M534" s="45"/>
    </row>
    <row r="535" spans="1:13" x14ac:dyDescent="0.25">
      <c r="A535" s="152"/>
      <c r="B535" s="155"/>
      <c r="C535" s="41" t="s">
        <v>37</v>
      </c>
      <c r="D535" s="42">
        <v>520.79999999999995</v>
      </c>
      <c r="E535" s="42">
        <v>503.6</v>
      </c>
      <c r="F535" s="42">
        <v>17.2</v>
      </c>
      <c r="G535" s="57">
        <f t="shared" si="18"/>
        <v>0.96697388632872516</v>
      </c>
      <c r="H535" s="58"/>
      <c r="I535" s="43"/>
      <c r="J535" s="44"/>
      <c r="K535" s="44"/>
      <c r="L535" s="41"/>
      <c r="M535" s="45"/>
    </row>
    <row r="536" spans="1:13" x14ac:dyDescent="0.25">
      <c r="A536" s="152"/>
      <c r="B536" s="155"/>
      <c r="C536" s="41" t="s">
        <v>23</v>
      </c>
      <c r="D536" s="42">
        <v>9755.2999999999993</v>
      </c>
      <c r="E536" s="42">
        <v>9705.7000000000007</v>
      </c>
      <c r="F536" s="42">
        <v>49.6</v>
      </c>
      <c r="G536" s="57">
        <f t="shared" si="18"/>
        <v>0.99491558434902072</v>
      </c>
      <c r="H536" s="58"/>
      <c r="I536" s="43"/>
      <c r="J536" s="44"/>
      <c r="K536" s="44"/>
      <c r="L536" s="41"/>
      <c r="M536" s="45"/>
    </row>
    <row r="537" spans="1:13" ht="16.5" thickBot="1" x14ac:dyDescent="0.3">
      <c r="A537" s="153"/>
      <c r="B537" s="156"/>
      <c r="C537" s="41" t="s">
        <v>183</v>
      </c>
      <c r="D537" s="42">
        <v>2354.1</v>
      </c>
      <c r="E537" s="42">
        <v>1990.4</v>
      </c>
      <c r="F537" s="42">
        <v>363.7</v>
      </c>
      <c r="G537" s="61">
        <f t="shared" si="18"/>
        <v>0.84550358948218007</v>
      </c>
      <c r="H537" s="41"/>
      <c r="I537" s="43"/>
      <c r="J537" s="44"/>
      <c r="K537" s="44"/>
      <c r="L537" s="41"/>
      <c r="M537" s="45"/>
    </row>
    <row r="538" spans="1:13" ht="48" thickBot="1" x14ac:dyDescent="0.3">
      <c r="A538" s="64" t="s">
        <v>1045</v>
      </c>
      <c r="B538" s="65" t="s">
        <v>1046</v>
      </c>
      <c r="C538" s="33" t="s">
        <v>23</v>
      </c>
      <c r="D538" s="66">
        <v>224</v>
      </c>
      <c r="E538" s="66">
        <v>215.4</v>
      </c>
      <c r="F538" s="66">
        <v>8.6</v>
      </c>
      <c r="G538" s="35">
        <f t="shared" si="18"/>
        <v>0.96160714285714288</v>
      </c>
      <c r="H538" s="33" t="s">
        <v>1047</v>
      </c>
      <c r="I538" s="36" t="s">
        <v>340</v>
      </c>
      <c r="J538" s="37">
        <v>730</v>
      </c>
      <c r="K538" s="60">
        <v>882</v>
      </c>
      <c r="L538" s="33" t="s">
        <v>1048</v>
      </c>
      <c r="M538" s="39" t="s">
        <v>1839</v>
      </c>
    </row>
    <row r="539" spans="1:13" ht="95.25" thickBot="1" x14ac:dyDescent="0.3">
      <c r="A539" s="64" t="s">
        <v>1049</v>
      </c>
      <c r="B539" s="65" t="s">
        <v>1050</v>
      </c>
      <c r="C539" s="33" t="s">
        <v>23</v>
      </c>
      <c r="D539" s="66">
        <v>255.8</v>
      </c>
      <c r="E539" s="66">
        <v>254.7</v>
      </c>
      <c r="F539" s="66">
        <v>1.1000000000000001</v>
      </c>
      <c r="G539" s="35">
        <f t="shared" si="18"/>
        <v>0.99569976544175132</v>
      </c>
      <c r="H539" s="33" t="s">
        <v>1051</v>
      </c>
      <c r="I539" s="36" t="s">
        <v>340</v>
      </c>
      <c r="J539" s="37">
        <v>310</v>
      </c>
      <c r="K539" s="60">
        <v>313</v>
      </c>
      <c r="L539" s="33" t="s">
        <v>1052</v>
      </c>
      <c r="M539" s="39" t="s">
        <v>1841</v>
      </c>
    </row>
    <row r="540" spans="1:13" ht="63.75" thickBot="1" x14ac:dyDescent="0.3">
      <c r="A540" s="64" t="s">
        <v>1053</v>
      </c>
      <c r="B540" s="65" t="s">
        <v>1054</v>
      </c>
      <c r="C540" s="33"/>
      <c r="D540" s="34">
        <f>D541+D543+D544+D547+D548-0.1</f>
        <v>566.29999999999995</v>
      </c>
      <c r="E540" s="34">
        <f>E541+E543+E544+E547+E548</f>
        <v>554.4</v>
      </c>
      <c r="F540" s="34">
        <f>F541+F543+F544+F547+F548</f>
        <v>12</v>
      </c>
      <c r="G540" s="35">
        <f t="shared" si="18"/>
        <v>0.97898640296662554</v>
      </c>
      <c r="H540" s="33" t="s">
        <v>1015</v>
      </c>
      <c r="I540" s="36" t="s">
        <v>340</v>
      </c>
      <c r="J540" s="37">
        <v>5</v>
      </c>
      <c r="K540" s="62">
        <v>4</v>
      </c>
      <c r="L540" s="33"/>
      <c r="M540" s="39" t="s">
        <v>1842</v>
      </c>
    </row>
    <row r="541" spans="1:13" ht="30" customHeight="1" x14ac:dyDescent="0.25">
      <c r="A541" s="151" t="s">
        <v>1055</v>
      </c>
      <c r="B541" s="154" t="s">
        <v>1056</v>
      </c>
      <c r="C541" s="33"/>
      <c r="D541" s="34">
        <f>SUM(D542:D542)</f>
        <v>11.5</v>
      </c>
      <c r="E541" s="34"/>
      <c r="F541" s="34">
        <f>SUM(F542:F542)</f>
        <v>11.5</v>
      </c>
      <c r="G541" s="35">
        <f t="shared" si="18"/>
        <v>0</v>
      </c>
      <c r="H541" s="33"/>
      <c r="I541" s="36"/>
      <c r="J541" s="37"/>
      <c r="K541" s="37"/>
      <c r="L541" s="33"/>
      <c r="M541" s="39"/>
    </row>
    <row r="542" spans="1:13" ht="16.5" thickBot="1" x14ac:dyDescent="0.3">
      <c r="A542" s="153"/>
      <c r="B542" s="156"/>
      <c r="C542" s="41" t="s">
        <v>78</v>
      </c>
      <c r="D542" s="42">
        <v>11.5</v>
      </c>
      <c r="E542" s="42"/>
      <c r="F542" s="42">
        <v>11.5</v>
      </c>
      <c r="G542" s="61">
        <f t="shared" si="18"/>
        <v>0</v>
      </c>
      <c r="H542" s="41"/>
      <c r="I542" s="43"/>
      <c r="J542" s="44"/>
      <c r="K542" s="44"/>
      <c r="L542" s="41"/>
      <c r="M542" s="45"/>
    </row>
    <row r="543" spans="1:13" ht="32.25" thickBot="1" x14ac:dyDescent="0.3">
      <c r="A543" s="64" t="s">
        <v>1057</v>
      </c>
      <c r="B543" s="65" t="s">
        <v>1058</v>
      </c>
      <c r="C543" s="33" t="s">
        <v>985</v>
      </c>
      <c r="D543" s="66">
        <v>245.9</v>
      </c>
      <c r="E543" s="66">
        <v>245.4</v>
      </c>
      <c r="F543" s="66">
        <v>0.5</v>
      </c>
      <c r="G543" s="35">
        <f t="shared" si="18"/>
        <v>0.99796665311102073</v>
      </c>
      <c r="H543" s="33" t="s">
        <v>1015</v>
      </c>
      <c r="I543" s="36" t="s">
        <v>340</v>
      </c>
      <c r="J543" s="37">
        <v>1</v>
      </c>
      <c r="K543" s="38">
        <v>1</v>
      </c>
      <c r="L543" s="33"/>
      <c r="M543" s="39" t="s">
        <v>1843</v>
      </c>
    </row>
    <row r="544" spans="1:13" ht="30" customHeight="1" x14ac:dyDescent="0.25">
      <c r="A544" s="151" t="s">
        <v>1059</v>
      </c>
      <c r="B544" s="154" t="s">
        <v>1060</v>
      </c>
      <c r="C544" s="33"/>
      <c r="D544" s="34">
        <f>SUM(D545:D546)</f>
        <v>188.39999999999998</v>
      </c>
      <c r="E544" s="34">
        <f>SUM(E545:E546)</f>
        <v>188.39999999999998</v>
      </c>
      <c r="F544" s="34"/>
      <c r="G544" s="53">
        <f t="shared" si="18"/>
        <v>1</v>
      </c>
      <c r="H544" s="33" t="s">
        <v>1015</v>
      </c>
      <c r="I544" s="36" t="s">
        <v>340</v>
      </c>
      <c r="J544" s="37">
        <v>1</v>
      </c>
      <c r="K544" s="38">
        <v>1</v>
      </c>
      <c r="L544" s="33"/>
      <c r="M544" s="39"/>
    </row>
    <row r="545" spans="1:13" x14ac:dyDescent="0.25">
      <c r="A545" s="152"/>
      <c r="B545" s="155"/>
      <c r="C545" s="41" t="s">
        <v>985</v>
      </c>
      <c r="D545" s="42">
        <v>187.2</v>
      </c>
      <c r="E545" s="42">
        <v>187.2</v>
      </c>
      <c r="F545" s="42"/>
      <c r="G545" s="57">
        <f t="shared" si="18"/>
        <v>1</v>
      </c>
      <c r="H545" s="58"/>
      <c r="I545" s="43"/>
      <c r="J545" s="44"/>
      <c r="K545" s="44"/>
      <c r="L545" s="41"/>
      <c r="M545" s="45"/>
    </row>
    <row r="546" spans="1:13" ht="16.5" thickBot="1" x14ac:dyDescent="0.3">
      <c r="A546" s="153"/>
      <c r="B546" s="156"/>
      <c r="C546" s="41" t="s">
        <v>78</v>
      </c>
      <c r="D546" s="42">
        <v>1.2</v>
      </c>
      <c r="E546" s="42">
        <v>1.2</v>
      </c>
      <c r="F546" s="42"/>
      <c r="G546" s="61">
        <f t="shared" si="18"/>
        <v>1</v>
      </c>
      <c r="H546" s="41"/>
      <c r="I546" s="43"/>
      <c r="J546" s="44"/>
      <c r="K546" s="44"/>
      <c r="L546" s="41"/>
      <c r="M546" s="45"/>
    </row>
    <row r="547" spans="1:13" ht="48" thickBot="1" x14ac:dyDescent="0.3">
      <c r="A547" s="64" t="s">
        <v>1061</v>
      </c>
      <c r="B547" s="65" t="s">
        <v>1062</v>
      </c>
      <c r="C547" s="33" t="s">
        <v>985</v>
      </c>
      <c r="D547" s="66">
        <v>51.9</v>
      </c>
      <c r="E547" s="66">
        <v>51.9</v>
      </c>
      <c r="F547" s="66"/>
      <c r="G547" s="35">
        <f t="shared" si="18"/>
        <v>1</v>
      </c>
      <c r="H547" s="33" t="s">
        <v>1015</v>
      </c>
      <c r="I547" s="36" t="s">
        <v>340</v>
      </c>
      <c r="J547" s="37">
        <v>1</v>
      </c>
      <c r="K547" s="38">
        <v>1</v>
      </c>
      <c r="L547" s="33"/>
      <c r="M547" s="39"/>
    </row>
    <row r="548" spans="1:13" ht="32.25" thickBot="1" x14ac:dyDescent="0.3">
      <c r="A548" s="64" t="s">
        <v>1063</v>
      </c>
      <c r="B548" s="65" t="s">
        <v>1064</v>
      </c>
      <c r="C548" s="33" t="s">
        <v>985</v>
      </c>
      <c r="D548" s="66">
        <v>68.7</v>
      </c>
      <c r="E548" s="66">
        <v>68.7</v>
      </c>
      <c r="F548" s="66"/>
      <c r="G548" s="35">
        <f t="shared" si="18"/>
        <v>1</v>
      </c>
      <c r="H548" s="33" t="s">
        <v>1015</v>
      </c>
      <c r="I548" s="36" t="s">
        <v>340</v>
      </c>
      <c r="J548" s="37">
        <v>1</v>
      </c>
      <c r="K548" s="38">
        <v>1</v>
      </c>
      <c r="L548" s="33"/>
      <c r="M548" s="39"/>
    </row>
    <row r="549" spans="1:13" ht="79.5" thickBot="1" x14ac:dyDescent="0.3">
      <c r="A549" s="64" t="s">
        <v>1065</v>
      </c>
      <c r="B549" s="65" t="s">
        <v>1066</v>
      </c>
      <c r="C549" s="33" t="s">
        <v>23</v>
      </c>
      <c r="D549" s="66">
        <v>86.1</v>
      </c>
      <c r="E549" s="66">
        <v>65</v>
      </c>
      <c r="F549" s="66">
        <v>21.1</v>
      </c>
      <c r="G549" s="35">
        <f t="shared" si="18"/>
        <v>0.75493612078977934</v>
      </c>
      <c r="H549" s="33" t="s">
        <v>1067</v>
      </c>
      <c r="I549" s="36" t="s">
        <v>340</v>
      </c>
      <c r="J549" s="37">
        <v>1500</v>
      </c>
      <c r="K549" s="62">
        <v>815</v>
      </c>
      <c r="L549" s="33" t="s">
        <v>1068</v>
      </c>
      <c r="M549" s="39" t="s">
        <v>1844</v>
      </c>
    </row>
    <row r="550" spans="1:13" ht="79.5" thickBot="1" x14ac:dyDescent="0.3">
      <c r="A550" s="64" t="s">
        <v>1069</v>
      </c>
      <c r="B550" s="65" t="s">
        <v>1070</v>
      </c>
      <c r="C550" s="33" t="s">
        <v>23</v>
      </c>
      <c r="D550" s="66">
        <v>300</v>
      </c>
      <c r="E550" s="66">
        <v>291.3</v>
      </c>
      <c r="F550" s="66">
        <v>8.6999999999999993</v>
      </c>
      <c r="G550" s="35">
        <f t="shared" si="18"/>
        <v>0.97100000000000009</v>
      </c>
      <c r="H550" s="33" t="s">
        <v>1071</v>
      </c>
      <c r="I550" s="36" t="s">
        <v>27</v>
      </c>
      <c r="J550" s="37">
        <v>100</v>
      </c>
      <c r="K550" s="38">
        <v>100</v>
      </c>
      <c r="L550" s="33" t="s">
        <v>1072</v>
      </c>
      <c r="M550" s="39" t="s">
        <v>1845</v>
      </c>
    </row>
    <row r="551" spans="1:13" ht="78.75" x14ac:dyDescent="0.25">
      <c r="A551" s="151" t="s">
        <v>1073</v>
      </c>
      <c r="B551" s="154" t="s">
        <v>1074</v>
      </c>
      <c r="C551" s="33" t="s">
        <v>208</v>
      </c>
      <c r="D551" s="34">
        <f>SUM(D552:D552)+70.3</f>
        <v>70.3</v>
      </c>
      <c r="E551" s="34">
        <f>SUM(E552:E552)+44.4</f>
        <v>44.4</v>
      </c>
      <c r="F551" s="34">
        <f>SUM(F552:F552)+25.9</f>
        <v>25.9</v>
      </c>
      <c r="G551" s="35">
        <f t="shared" si="18"/>
        <v>0.63157894736842102</v>
      </c>
      <c r="H551" s="33" t="s">
        <v>1075</v>
      </c>
      <c r="I551" s="36" t="s">
        <v>340</v>
      </c>
      <c r="J551" s="37">
        <v>32</v>
      </c>
      <c r="K551" s="62">
        <v>25</v>
      </c>
      <c r="L551" s="33"/>
      <c r="M551" s="39" t="s">
        <v>1846</v>
      </c>
    </row>
    <row r="552" spans="1:13" ht="32.25" thickBot="1" x14ac:dyDescent="0.3">
      <c r="A552" s="153"/>
      <c r="B552" s="156"/>
      <c r="C552" s="41"/>
      <c r="D552" s="42"/>
      <c r="E552" s="42"/>
      <c r="F552" s="42"/>
      <c r="G552" s="42"/>
      <c r="H552" s="41" t="s">
        <v>1076</v>
      </c>
      <c r="I552" s="43" t="s">
        <v>340</v>
      </c>
      <c r="J552" s="44">
        <v>17</v>
      </c>
      <c r="K552" s="47">
        <v>17</v>
      </c>
      <c r="L552" s="41"/>
      <c r="M552" s="45"/>
    </row>
    <row r="553" spans="1:13" ht="32.25" thickBot="1" x14ac:dyDescent="0.3">
      <c r="A553" s="15" t="s">
        <v>1077</v>
      </c>
      <c r="B553" s="16" t="s">
        <v>1078</v>
      </c>
      <c r="C553" s="17"/>
      <c r="D553" s="18">
        <f>SUM(D554:D554)</f>
        <v>6840.6</v>
      </c>
      <c r="E553" s="18">
        <f>SUM(E554:E554)</f>
        <v>3893.0000000000005</v>
      </c>
      <c r="F553" s="18">
        <f>SUM(F554:F554)</f>
        <v>2947.6</v>
      </c>
      <c r="G553" s="19">
        <f>SUM(E553/D553)</f>
        <v>0.56910212554454287</v>
      </c>
      <c r="H553" s="17" t="s">
        <v>1079</v>
      </c>
      <c r="I553" s="20" t="s">
        <v>340</v>
      </c>
      <c r="J553" s="21">
        <v>2</v>
      </c>
      <c r="K553" s="21">
        <v>2</v>
      </c>
      <c r="L553" s="17"/>
      <c r="M553" s="22"/>
    </row>
    <row r="554" spans="1:13" ht="48" thickBot="1" x14ac:dyDescent="0.3">
      <c r="A554" s="25" t="s">
        <v>1080</v>
      </c>
      <c r="B554" s="26" t="s">
        <v>1081</v>
      </c>
      <c r="C554" s="27"/>
      <c r="D554" s="28">
        <f>D555+D558+D563+D564+D566+D571+D573+D576+D580+D583+D593+D597+D598+D599</f>
        <v>6840.6</v>
      </c>
      <c r="E554" s="28">
        <f>E555+E558+E563+E564+E566+E571+E573+E576+E580+E583+E593+E597+E598+E599-0.1</f>
        <v>3893.0000000000005</v>
      </c>
      <c r="F554" s="28">
        <f>F555+F558+F563+F564+F566+F571+F573+F576+F580+F583+F593+F597+F598+F599+0.1</f>
        <v>2947.6</v>
      </c>
      <c r="G554" s="29">
        <f>SUM(E554/D554)</f>
        <v>0.56910212554454287</v>
      </c>
      <c r="H554" s="129"/>
      <c r="I554" s="130"/>
      <c r="J554" s="130"/>
      <c r="K554" s="130"/>
      <c r="L554" s="130"/>
      <c r="M554" s="131"/>
    </row>
    <row r="555" spans="1:13" ht="63" x14ac:dyDescent="0.25">
      <c r="A555" s="151" t="s">
        <v>1082</v>
      </c>
      <c r="B555" s="154" t="s">
        <v>1083</v>
      </c>
      <c r="C555" s="33" t="s">
        <v>23</v>
      </c>
      <c r="D555" s="34">
        <f>SUM(D556:D557)+805</f>
        <v>805</v>
      </c>
      <c r="E555" s="34">
        <f>SUM(E556:E557)+370.1</f>
        <v>370.1</v>
      </c>
      <c r="F555" s="34">
        <f>SUM(F556:F557)+434.9</f>
        <v>434.9</v>
      </c>
      <c r="G555" s="35">
        <f>SUM(E555/D555)</f>
        <v>0.4597515527950311</v>
      </c>
      <c r="H555" s="33" t="s">
        <v>1084</v>
      </c>
      <c r="I555" s="36" t="s">
        <v>27</v>
      </c>
      <c r="J555" s="37">
        <v>50</v>
      </c>
      <c r="K555" s="62">
        <v>30</v>
      </c>
      <c r="L555" s="33" t="s">
        <v>1085</v>
      </c>
      <c r="M555" s="39" t="s">
        <v>1847</v>
      </c>
    </row>
    <row r="556" spans="1:13" ht="63" x14ac:dyDescent="0.25">
      <c r="A556" s="152"/>
      <c r="B556" s="155"/>
      <c r="C556" s="41"/>
      <c r="D556" s="42"/>
      <c r="E556" s="42"/>
      <c r="F556" s="42"/>
      <c r="G556" s="42"/>
      <c r="H556" s="41" t="s">
        <v>1086</v>
      </c>
      <c r="I556" s="43" t="s">
        <v>27</v>
      </c>
      <c r="J556" s="44">
        <v>20</v>
      </c>
      <c r="K556" s="72">
        <v>10</v>
      </c>
      <c r="L556" s="41" t="s">
        <v>1087</v>
      </c>
      <c r="M556" s="45" t="s">
        <v>1848</v>
      </c>
    </row>
    <row r="557" spans="1:13" ht="63.75" thickBot="1" x14ac:dyDescent="0.3">
      <c r="A557" s="153"/>
      <c r="B557" s="156"/>
      <c r="C557" s="41"/>
      <c r="D557" s="42"/>
      <c r="E557" s="42"/>
      <c r="F557" s="42"/>
      <c r="G557" s="42"/>
      <c r="H557" s="41" t="s">
        <v>1088</v>
      </c>
      <c r="I557" s="43" t="s">
        <v>27</v>
      </c>
      <c r="J557" s="44">
        <v>50</v>
      </c>
      <c r="K557" s="82">
        <v>20</v>
      </c>
      <c r="L557" s="41" t="s">
        <v>1089</v>
      </c>
      <c r="M557" s="45" t="s">
        <v>1849</v>
      </c>
    </row>
    <row r="558" spans="1:13" ht="94.5" x14ac:dyDescent="0.25">
      <c r="A558" s="151" t="s">
        <v>1090</v>
      </c>
      <c r="B558" s="154" t="s">
        <v>1091</v>
      </c>
      <c r="C558" s="33"/>
      <c r="D558" s="34">
        <f>SUM(D559:D562)</f>
        <v>1504.3999999999999</v>
      </c>
      <c r="E558" s="34">
        <f>SUM(E559:E562)</f>
        <v>1408.5</v>
      </c>
      <c r="F558" s="34">
        <f>SUM(F559:F562)</f>
        <v>95.9</v>
      </c>
      <c r="G558" s="53">
        <f t="shared" ref="G558:G564" si="19">SUM(E558/D558)</f>
        <v>0.9362536559425686</v>
      </c>
      <c r="H558" s="33" t="s">
        <v>1092</v>
      </c>
      <c r="I558" s="36" t="s">
        <v>27</v>
      </c>
      <c r="J558" s="37">
        <v>89</v>
      </c>
      <c r="K558" s="38">
        <v>89</v>
      </c>
      <c r="L558" s="33" t="s">
        <v>1093</v>
      </c>
      <c r="M558" s="39" t="s">
        <v>1850</v>
      </c>
    </row>
    <row r="559" spans="1:13" x14ac:dyDescent="0.25">
      <c r="A559" s="152"/>
      <c r="B559" s="155"/>
      <c r="C559" s="41" t="s">
        <v>37</v>
      </c>
      <c r="D559" s="42">
        <v>248.8</v>
      </c>
      <c r="E559" s="42">
        <v>180.3</v>
      </c>
      <c r="F559" s="42">
        <v>68.5</v>
      </c>
      <c r="G559" s="57">
        <f t="shared" si="19"/>
        <v>0.72467845659163987</v>
      </c>
      <c r="H559" s="58"/>
      <c r="I559" s="43"/>
      <c r="J559" s="44"/>
      <c r="K559" s="44"/>
      <c r="L559" s="41"/>
      <c r="M559" s="45"/>
    </row>
    <row r="560" spans="1:13" x14ac:dyDescent="0.25">
      <c r="A560" s="152"/>
      <c r="B560" s="155"/>
      <c r="C560" s="41" t="s">
        <v>881</v>
      </c>
      <c r="D560" s="42">
        <v>615</v>
      </c>
      <c r="E560" s="42">
        <v>615</v>
      </c>
      <c r="F560" s="42"/>
      <c r="G560" s="57">
        <f t="shared" si="19"/>
        <v>1</v>
      </c>
      <c r="H560" s="58"/>
      <c r="I560" s="43"/>
      <c r="J560" s="44"/>
      <c r="K560" s="44"/>
      <c r="L560" s="41"/>
      <c r="M560" s="45"/>
    </row>
    <row r="561" spans="1:13" x14ac:dyDescent="0.25">
      <c r="A561" s="152"/>
      <c r="B561" s="155"/>
      <c r="C561" s="41" t="s">
        <v>23</v>
      </c>
      <c r="D561" s="42">
        <v>139.4</v>
      </c>
      <c r="E561" s="42">
        <v>112</v>
      </c>
      <c r="F561" s="42">
        <v>27.4</v>
      </c>
      <c r="G561" s="57">
        <f t="shared" si="19"/>
        <v>0.80344332855093259</v>
      </c>
      <c r="H561" s="58"/>
      <c r="I561" s="43"/>
      <c r="J561" s="44"/>
      <c r="K561" s="44"/>
      <c r="L561" s="41"/>
      <c r="M561" s="45"/>
    </row>
    <row r="562" spans="1:13" ht="16.5" thickBot="1" x14ac:dyDescent="0.3">
      <c r="A562" s="153"/>
      <c r="B562" s="156"/>
      <c r="C562" s="41" t="s">
        <v>217</v>
      </c>
      <c r="D562" s="42">
        <v>501.2</v>
      </c>
      <c r="E562" s="42">
        <v>501.2</v>
      </c>
      <c r="F562" s="42"/>
      <c r="G562" s="61">
        <f t="shared" si="19"/>
        <v>1</v>
      </c>
      <c r="H562" s="41"/>
      <c r="I562" s="43"/>
      <c r="J562" s="44"/>
      <c r="K562" s="44"/>
      <c r="L562" s="41"/>
      <c r="M562" s="45"/>
    </row>
    <row r="563" spans="1:13" ht="142.5" thickBot="1" x14ac:dyDescent="0.3">
      <c r="A563" s="64" t="s">
        <v>1094</v>
      </c>
      <c r="B563" s="65" t="s">
        <v>1095</v>
      </c>
      <c r="C563" s="33" t="s">
        <v>23</v>
      </c>
      <c r="D563" s="66">
        <v>248.8</v>
      </c>
      <c r="E563" s="66">
        <v>240.6</v>
      </c>
      <c r="F563" s="66">
        <v>8.1999999999999993</v>
      </c>
      <c r="G563" s="35">
        <f t="shared" si="19"/>
        <v>0.96704180064308676</v>
      </c>
      <c r="H563" s="33" t="s">
        <v>1096</v>
      </c>
      <c r="I563" s="36" t="s">
        <v>340</v>
      </c>
      <c r="J563" s="37">
        <v>2</v>
      </c>
      <c r="K563" s="38">
        <v>2</v>
      </c>
      <c r="L563" s="33" t="s">
        <v>1097</v>
      </c>
      <c r="M563" s="39" t="s">
        <v>1851</v>
      </c>
    </row>
    <row r="564" spans="1:13" ht="94.5" x14ac:dyDescent="0.25">
      <c r="A564" s="151" t="s">
        <v>1098</v>
      </c>
      <c r="B564" s="154" t="s">
        <v>1099</v>
      </c>
      <c r="C564" s="33" t="s">
        <v>23</v>
      </c>
      <c r="D564" s="34">
        <f>SUM(D565:D565)+85</f>
        <v>85</v>
      </c>
      <c r="E564" s="34">
        <f>SUM(E565:E565)+85</f>
        <v>85</v>
      </c>
      <c r="F564" s="34"/>
      <c r="G564" s="35">
        <f t="shared" si="19"/>
        <v>1</v>
      </c>
      <c r="H564" s="33" t="s">
        <v>1100</v>
      </c>
      <c r="I564" s="36" t="s">
        <v>340</v>
      </c>
      <c r="J564" s="37">
        <v>2</v>
      </c>
      <c r="K564" s="62">
        <v>1</v>
      </c>
      <c r="L564" s="33" t="s">
        <v>1101</v>
      </c>
      <c r="M564" s="39"/>
    </row>
    <row r="565" spans="1:13" ht="137.25" customHeight="1" thickBot="1" x14ac:dyDescent="0.3">
      <c r="A565" s="153"/>
      <c r="B565" s="156"/>
      <c r="C565" s="41"/>
      <c r="D565" s="42"/>
      <c r="E565" s="42"/>
      <c r="F565" s="42"/>
      <c r="G565" s="42"/>
      <c r="H565" s="41" t="s">
        <v>1102</v>
      </c>
      <c r="I565" s="43" t="s">
        <v>340</v>
      </c>
      <c r="J565" s="44">
        <v>5</v>
      </c>
      <c r="K565" s="47">
        <v>5</v>
      </c>
      <c r="L565" s="41" t="s">
        <v>1103</v>
      </c>
      <c r="M565" s="45" t="s">
        <v>1830</v>
      </c>
    </row>
    <row r="566" spans="1:13" ht="126" x14ac:dyDescent="0.25">
      <c r="A566" s="151" t="s">
        <v>1104</v>
      </c>
      <c r="B566" s="154" t="s">
        <v>1105</v>
      </c>
      <c r="C566" s="33"/>
      <c r="D566" s="34">
        <f>SUM(D567:D570)</f>
        <v>978.4</v>
      </c>
      <c r="E566" s="34">
        <f>SUM(E567:E570)-0.1</f>
        <v>968.4</v>
      </c>
      <c r="F566" s="34">
        <f>SUM(F567:F570)+0.1</f>
        <v>10</v>
      </c>
      <c r="G566" s="53">
        <f>SUM(E566/D566)</f>
        <v>0.98977923139820112</v>
      </c>
      <c r="H566" s="33" t="s">
        <v>1106</v>
      </c>
      <c r="I566" s="36" t="s">
        <v>340</v>
      </c>
      <c r="J566" s="37">
        <v>2</v>
      </c>
      <c r="K566" s="38">
        <v>2</v>
      </c>
      <c r="L566" s="33" t="s">
        <v>1107</v>
      </c>
      <c r="M566" s="39"/>
    </row>
    <row r="567" spans="1:13" ht="78.75" x14ac:dyDescent="0.25">
      <c r="A567" s="152"/>
      <c r="B567" s="155"/>
      <c r="C567" s="41" t="s">
        <v>23</v>
      </c>
      <c r="D567" s="42">
        <v>785.4</v>
      </c>
      <c r="E567" s="42">
        <v>781.9</v>
      </c>
      <c r="F567" s="42">
        <v>3.5</v>
      </c>
      <c r="G567" s="57">
        <f>SUM(E567/D567)</f>
        <v>0.99554367201426019</v>
      </c>
      <c r="H567" s="58" t="s">
        <v>1108</v>
      </c>
      <c r="I567" s="43" t="s">
        <v>340</v>
      </c>
      <c r="J567" s="44">
        <v>1</v>
      </c>
      <c r="K567" s="47">
        <v>1</v>
      </c>
      <c r="L567" s="41" t="s">
        <v>1109</v>
      </c>
      <c r="M567" s="45" t="s">
        <v>1852</v>
      </c>
    </row>
    <row r="568" spans="1:13" ht="126" x14ac:dyDescent="0.25">
      <c r="A568" s="152"/>
      <c r="B568" s="155"/>
      <c r="C568" s="41" t="s">
        <v>37</v>
      </c>
      <c r="D568" s="42">
        <v>193</v>
      </c>
      <c r="E568" s="42">
        <v>186.6</v>
      </c>
      <c r="F568" s="42">
        <v>6.4</v>
      </c>
      <c r="G568" s="61">
        <f>SUM(E568/D568)</f>
        <v>0.96683937823834198</v>
      </c>
      <c r="H568" s="41" t="s">
        <v>1110</v>
      </c>
      <c r="I568" s="43" t="s">
        <v>340</v>
      </c>
      <c r="J568" s="44">
        <v>2</v>
      </c>
      <c r="K568" s="47">
        <v>2</v>
      </c>
      <c r="L568" s="41" t="s">
        <v>1111</v>
      </c>
      <c r="M568" s="45"/>
    </row>
    <row r="569" spans="1:13" ht="94.5" x14ac:dyDescent="0.25">
      <c r="A569" s="152"/>
      <c r="B569" s="155"/>
      <c r="C569" s="41"/>
      <c r="D569" s="42"/>
      <c r="E569" s="42"/>
      <c r="F569" s="42"/>
      <c r="G569" s="42"/>
      <c r="H569" s="41" t="s">
        <v>1112</v>
      </c>
      <c r="I569" s="43" t="s">
        <v>340</v>
      </c>
      <c r="J569" s="44">
        <v>2</v>
      </c>
      <c r="K569" s="63">
        <v>4</v>
      </c>
      <c r="L569" s="41" t="s">
        <v>1113</v>
      </c>
      <c r="M569" s="45"/>
    </row>
    <row r="570" spans="1:13" ht="95.25" thickBot="1" x14ac:dyDescent="0.3">
      <c r="A570" s="153"/>
      <c r="B570" s="156"/>
      <c r="C570" s="41"/>
      <c r="D570" s="42"/>
      <c r="E570" s="42"/>
      <c r="F570" s="42"/>
      <c r="G570" s="42"/>
      <c r="H570" s="41" t="s">
        <v>1114</v>
      </c>
      <c r="I570" s="43" t="s">
        <v>340</v>
      </c>
      <c r="J570" s="44">
        <v>2</v>
      </c>
      <c r="K570" s="47">
        <v>2</v>
      </c>
      <c r="L570" s="41" t="s">
        <v>1115</v>
      </c>
      <c r="M570" s="45"/>
    </row>
    <row r="571" spans="1:13" ht="47.25" x14ac:dyDescent="0.25">
      <c r="A571" s="151" t="s">
        <v>1116</v>
      </c>
      <c r="B571" s="154" t="s">
        <v>1117</v>
      </c>
      <c r="C571" s="33"/>
      <c r="D571" s="34">
        <f>SUM(D572:D572)</f>
        <v>470</v>
      </c>
      <c r="E571" s="34"/>
      <c r="F571" s="34">
        <f>SUM(F572:F572)</f>
        <v>470</v>
      </c>
      <c r="G571" s="35">
        <f t="shared" ref="G571:G583" si="20">SUM(E571/D571)</f>
        <v>0</v>
      </c>
      <c r="H571" s="33" t="s">
        <v>1118</v>
      </c>
      <c r="I571" s="36" t="s">
        <v>27</v>
      </c>
      <c r="J571" s="37">
        <v>50</v>
      </c>
      <c r="K571" s="54">
        <v>0</v>
      </c>
      <c r="L571" s="33"/>
      <c r="M571" s="39" t="s">
        <v>1853</v>
      </c>
    </row>
    <row r="572" spans="1:13" ht="16.5" thickBot="1" x14ac:dyDescent="0.3">
      <c r="A572" s="153"/>
      <c r="B572" s="156"/>
      <c r="C572" s="41" t="s">
        <v>37</v>
      </c>
      <c r="D572" s="42">
        <v>470</v>
      </c>
      <c r="E572" s="42"/>
      <c r="F572" s="42">
        <v>470</v>
      </c>
      <c r="G572" s="61">
        <f t="shared" si="20"/>
        <v>0</v>
      </c>
      <c r="H572" s="41"/>
      <c r="I572" s="43"/>
      <c r="J572" s="44"/>
      <c r="K572" s="44"/>
      <c r="L572" s="41"/>
      <c r="M572" s="45"/>
    </row>
    <row r="573" spans="1:13" ht="126" x14ac:dyDescent="0.25">
      <c r="A573" s="151" t="s">
        <v>1119</v>
      </c>
      <c r="B573" s="154" t="s">
        <v>1120</v>
      </c>
      <c r="C573" s="33"/>
      <c r="D573" s="34">
        <f>SUM(D574:D575)</f>
        <v>22.5</v>
      </c>
      <c r="E573" s="34"/>
      <c r="F573" s="34">
        <f>SUM(F574:F575)</f>
        <v>22.5</v>
      </c>
      <c r="G573" s="53">
        <f t="shared" si="20"/>
        <v>0</v>
      </c>
      <c r="H573" s="33" t="s">
        <v>343</v>
      </c>
      <c r="I573" s="36" t="s">
        <v>18</v>
      </c>
      <c r="J573" s="37">
        <v>1</v>
      </c>
      <c r="K573" s="54">
        <v>0</v>
      </c>
      <c r="L573" s="33" t="s">
        <v>1121</v>
      </c>
      <c r="M573" s="39" t="s">
        <v>1854</v>
      </c>
    </row>
    <row r="574" spans="1:13" x14ac:dyDescent="0.25">
      <c r="A574" s="152"/>
      <c r="B574" s="155"/>
      <c r="C574" s="41" t="s">
        <v>208</v>
      </c>
      <c r="D574" s="42">
        <v>20.6</v>
      </c>
      <c r="E574" s="42"/>
      <c r="F574" s="42">
        <v>20.6</v>
      </c>
      <c r="G574" s="57">
        <f t="shared" si="20"/>
        <v>0</v>
      </c>
      <c r="H574" s="58"/>
      <c r="I574" s="43"/>
      <c r="J574" s="44"/>
      <c r="K574" s="44"/>
      <c r="L574" s="41"/>
      <c r="M574" s="45"/>
    </row>
    <row r="575" spans="1:13" ht="16.5" thickBot="1" x14ac:dyDescent="0.3">
      <c r="A575" s="153"/>
      <c r="B575" s="156"/>
      <c r="C575" s="41" t="s">
        <v>78</v>
      </c>
      <c r="D575" s="42">
        <v>1.9</v>
      </c>
      <c r="E575" s="42"/>
      <c r="F575" s="42">
        <v>1.9</v>
      </c>
      <c r="G575" s="61">
        <f t="shared" si="20"/>
        <v>0</v>
      </c>
      <c r="H575" s="41"/>
      <c r="I575" s="43"/>
      <c r="J575" s="44"/>
      <c r="K575" s="44"/>
      <c r="L575" s="41"/>
      <c r="M575" s="45"/>
    </row>
    <row r="576" spans="1:13" ht="126" x14ac:dyDescent="0.25">
      <c r="A576" s="151" t="s">
        <v>1122</v>
      </c>
      <c r="B576" s="154" t="s">
        <v>1123</v>
      </c>
      <c r="C576" s="33"/>
      <c r="D576" s="34">
        <f>SUM(D577:D579)</f>
        <v>93.5</v>
      </c>
      <c r="E576" s="34">
        <f>SUM(E577:E579)</f>
        <v>54.8</v>
      </c>
      <c r="F576" s="34">
        <f>SUM(F577:F579)</f>
        <v>38.700000000000003</v>
      </c>
      <c r="G576" s="53">
        <f t="shared" si="20"/>
        <v>0.58609625668449195</v>
      </c>
      <c r="H576" s="33" t="s">
        <v>1124</v>
      </c>
      <c r="I576" s="36" t="s">
        <v>18</v>
      </c>
      <c r="J576" s="37">
        <v>1</v>
      </c>
      <c r="K576" s="54">
        <v>0</v>
      </c>
      <c r="L576" s="33" t="s">
        <v>1125</v>
      </c>
      <c r="M576" s="39" t="s">
        <v>1126</v>
      </c>
    </row>
    <row r="577" spans="1:13" x14ac:dyDescent="0.25">
      <c r="A577" s="152"/>
      <c r="B577" s="155"/>
      <c r="C577" s="41" t="s">
        <v>37</v>
      </c>
      <c r="D577" s="42">
        <v>20.6</v>
      </c>
      <c r="E577" s="42">
        <v>12.5</v>
      </c>
      <c r="F577" s="42">
        <v>8.1</v>
      </c>
      <c r="G577" s="57">
        <f t="shared" si="20"/>
        <v>0.60679611650485432</v>
      </c>
      <c r="H577" s="58"/>
      <c r="I577" s="43"/>
      <c r="J577" s="44"/>
      <c r="K577" s="44"/>
      <c r="L577" s="41"/>
      <c r="M577" s="45"/>
    </row>
    <row r="578" spans="1:13" x14ac:dyDescent="0.25">
      <c r="A578" s="152"/>
      <c r="B578" s="155"/>
      <c r="C578" s="41" t="s">
        <v>78</v>
      </c>
      <c r="D578" s="42">
        <v>6</v>
      </c>
      <c r="E578" s="42">
        <v>3.4</v>
      </c>
      <c r="F578" s="42">
        <v>2.6</v>
      </c>
      <c r="G578" s="57">
        <f t="shared" si="20"/>
        <v>0.56666666666666665</v>
      </c>
      <c r="H578" s="58"/>
      <c r="I578" s="43"/>
      <c r="J578" s="44"/>
      <c r="K578" s="44"/>
      <c r="L578" s="41"/>
      <c r="M578" s="45"/>
    </row>
    <row r="579" spans="1:13" ht="16.5" thickBot="1" x14ac:dyDescent="0.3">
      <c r="A579" s="153"/>
      <c r="B579" s="156"/>
      <c r="C579" s="41" t="s">
        <v>208</v>
      </c>
      <c r="D579" s="42">
        <v>66.900000000000006</v>
      </c>
      <c r="E579" s="42">
        <v>38.9</v>
      </c>
      <c r="F579" s="42">
        <v>28</v>
      </c>
      <c r="G579" s="61">
        <f t="shared" si="20"/>
        <v>0.58146487294469351</v>
      </c>
      <c r="H579" s="41"/>
      <c r="I579" s="43"/>
      <c r="J579" s="44"/>
      <c r="K579" s="44"/>
      <c r="L579" s="41"/>
      <c r="M579" s="45"/>
    </row>
    <row r="580" spans="1:13" ht="126" x14ac:dyDescent="0.25">
      <c r="A580" s="151" t="s">
        <v>1127</v>
      </c>
      <c r="B580" s="154" t="s">
        <v>1128</v>
      </c>
      <c r="C580" s="33"/>
      <c r="D580" s="34">
        <f>SUM(D581:D582)</f>
        <v>21.7</v>
      </c>
      <c r="E580" s="34">
        <f>SUM(E581:E582)</f>
        <v>20.3</v>
      </c>
      <c r="F580" s="34">
        <f>SUM(F581:F582)</f>
        <v>1.4000000000000001</v>
      </c>
      <c r="G580" s="53">
        <f t="shared" si="20"/>
        <v>0.93548387096774199</v>
      </c>
      <c r="H580" s="33" t="s">
        <v>1129</v>
      </c>
      <c r="I580" s="36" t="s">
        <v>18</v>
      </c>
      <c r="J580" s="37">
        <v>2</v>
      </c>
      <c r="K580" s="38">
        <v>2</v>
      </c>
      <c r="L580" s="33" t="s">
        <v>1130</v>
      </c>
      <c r="M580" s="39" t="s">
        <v>1855</v>
      </c>
    </row>
    <row r="581" spans="1:13" x14ac:dyDescent="0.25">
      <c r="A581" s="152"/>
      <c r="B581" s="155"/>
      <c r="C581" s="41" t="s">
        <v>37</v>
      </c>
      <c r="D581" s="42">
        <v>4.2</v>
      </c>
      <c r="E581" s="42">
        <v>3.1</v>
      </c>
      <c r="F581" s="42">
        <v>1.1000000000000001</v>
      </c>
      <c r="G581" s="57">
        <f t="shared" si="20"/>
        <v>0.73809523809523814</v>
      </c>
      <c r="H581" s="58"/>
      <c r="I581" s="43"/>
      <c r="J581" s="44"/>
      <c r="K581" s="44"/>
      <c r="L581" s="41"/>
      <c r="M581" s="45"/>
    </row>
    <row r="582" spans="1:13" ht="16.5" thickBot="1" x14ac:dyDescent="0.3">
      <c r="A582" s="153"/>
      <c r="B582" s="156"/>
      <c r="C582" s="41" t="s">
        <v>208</v>
      </c>
      <c r="D582" s="42">
        <v>17.5</v>
      </c>
      <c r="E582" s="42">
        <v>17.2</v>
      </c>
      <c r="F582" s="42">
        <v>0.3</v>
      </c>
      <c r="G582" s="61">
        <f t="shared" si="20"/>
        <v>0.98285714285714276</v>
      </c>
      <c r="H582" s="41"/>
      <c r="I582" s="43"/>
      <c r="J582" s="44"/>
      <c r="K582" s="44"/>
      <c r="L582" s="41"/>
      <c r="M582" s="45"/>
    </row>
    <row r="583" spans="1:13" ht="45" customHeight="1" x14ac:dyDescent="0.25">
      <c r="A583" s="151" t="s">
        <v>1131</v>
      </c>
      <c r="B583" s="154" t="s">
        <v>1132</v>
      </c>
      <c r="C583" s="33"/>
      <c r="D583" s="34">
        <f>D584+D585+D586+D587+D588+D592</f>
        <v>847.3</v>
      </c>
      <c r="E583" s="34">
        <f>E584+E585+E586+E587+E588+E592</f>
        <v>417.6</v>
      </c>
      <c r="F583" s="34">
        <f>F584+F585+F586+F587+F588+F592</f>
        <v>429.7</v>
      </c>
      <c r="G583" s="35">
        <f t="shared" si="20"/>
        <v>0.49285967189897328</v>
      </c>
      <c r="H583" s="33" t="s">
        <v>1133</v>
      </c>
      <c r="I583" s="36" t="s">
        <v>340</v>
      </c>
      <c r="J583" s="37">
        <v>3</v>
      </c>
      <c r="K583" s="62">
        <v>2</v>
      </c>
      <c r="L583" s="33"/>
      <c r="M583" s="39"/>
    </row>
    <row r="584" spans="1:13" ht="47.25" x14ac:dyDescent="0.25">
      <c r="A584" s="152"/>
      <c r="B584" s="155"/>
      <c r="C584" s="41"/>
      <c r="D584" s="42"/>
      <c r="E584" s="42"/>
      <c r="F584" s="42"/>
      <c r="G584" s="42"/>
      <c r="H584" s="41" t="s">
        <v>1134</v>
      </c>
      <c r="I584" s="43" t="s">
        <v>340</v>
      </c>
      <c r="J584" s="44">
        <v>11</v>
      </c>
      <c r="K584" s="63">
        <v>16</v>
      </c>
      <c r="L584" s="41"/>
      <c r="M584" s="45"/>
    </row>
    <row r="585" spans="1:13" ht="47.25" x14ac:dyDescent="0.25">
      <c r="A585" s="152"/>
      <c r="B585" s="155"/>
      <c r="C585" s="41"/>
      <c r="D585" s="42"/>
      <c r="E585" s="42"/>
      <c r="F585" s="42"/>
      <c r="G585" s="42"/>
      <c r="H585" s="41" t="s">
        <v>1135</v>
      </c>
      <c r="I585" s="43" t="s">
        <v>340</v>
      </c>
      <c r="J585" s="44">
        <v>9</v>
      </c>
      <c r="K585" s="63">
        <v>27</v>
      </c>
      <c r="L585" s="41"/>
      <c r="M585" s="45"/>
    </row>
    <row r="586" spans="1:13" ht="110.25" x14ac:dyDescent="0.25">
      <c r="A586" s="152"/>
      <c r="B586" s="155"/>
      <c r="C586" s="41"/>
      <c r="D586" s="42"/>
      <c r="E586" s="42"/>
      <c r="F586" s="42"/>
      <c r="G586" s="42"/>
      <c r="H586" s="41" t="s">
        <v>1136</v>
      </c>
      <c r="I586" s="43" t="s">
        <v>18</v>
      </c>
      <c r="J586" s="44">
        <v>5</v>
      </c>
      <c r="K586" s="49">
        <v>0</v>
      </c>
      <c r="L586" s="41" t="s">
        <v>1137</v>
      </c>
      <c r="M586" s="45" t="s">
        <v>1856</v>
      </c>
    </row>
    <row r="587" spans="1:13" ht="63.75" thickBot="1" x14ac:dyDescent="0.3">
      <c r="A587" s="153"/>
      <c r="B587" s="156"/>
      <c r="C587" s="41"/>
      <c r="D587" s="42"/>
      <c r="E587" s="42"/>
      <c r="F587" s="42"/>
      <c r="G587" s="42"/>
      <c r="H587" s="41" t="s">
        <v>1138</v>
      </c>
      <c r="I587" s="43" t="s">
        <v>18</v>
      </c>
      <c r="J587" s="44">
        <v>4</v>
      </c>
      <c r="K587" s="47">
        <v>4</v>
      </c>
      <c r="L587" s="41"/>
      <c r="M587" s="45"/>
    </row>
    <row r="588" spans="1:13" ht="31.5" x14ac:dyDescent="0.25">
      <c r="A588" s="151" t="s">
        <v>1139</v>
      </c>
      <c r="B588" s="154" t="s">
        <v>1140</v>
      </c>
      <c r="C588" s="33"/>
      <c r="D588" s="34">
        <f>SUM(D589:D591)</f>
        <v>418</v>
      </c>
      <c r="E588" s="34">
        <f>SUM(E589:E591)</f>
        <v>417.6</v>
      </c>
      <c r="F588" s="34">
        <f>SUM(F589:F591)</f>
        <v>0.4</v>
      </c>
      <c r="G588" s="53">
        <f>SUM(E588/D588)</f>
        <v>0.99904306220095696</v>
      </c>
      <c r="H588" s="33" t="s">
        <v>1133</v>
      </c>
      <c r="I588" s="36" t="s">
        <v>340</v>
      </c>
      <c r="J588" s="37">
        <v>3</v>
      </c>
      <c r="K588" s="62">
        <v>2</v>
      </c>
      <c r="L588" s="33" t="s">
        <v>1141</v>
      </c>
      <c r="M588" s="39" t="s">
        <v>1857</v>
      </c>
    </row>
    <row r="589" spans="1:13" ht="47.25" x14ac:dyDescent="0.25">
      <c r="A589" s="152"/>
      <c r="B589" s="155"/>
      <c r="C589" s="41" t="s">
        <v>23</v>
      </c>
      <c r="D589" s="42">
        <v>314</v>
      </c>
      <c r="E589" s="42">
        <v>313.7</v>
      </c>
      <c r="F589" s="42">
        <v>0.3</v>
      </c>
      <c r="G589" s="57">
        <f>SUM(E589/D589)</f>
        <v>0.99904458598726109</v>
      </c>
      <c r="H589" s="58" t="s">
        <v>1134</v>
      </c>
      <c r="I589" s="43" t="s">
        <v>340</v>
      </c>
      <c r="J589" s="44">
        <v>11</v>
      </c>
      <c r="K589" s="63">
        <v>16</v>
      </c>
      <c r="L589" s="41" t="s">
        <v>1142</v>
      </c>
      <c r="M589" s="45"/>
    </row>
    <row r="590" spans="1:13" ht="47.25" x14ac:dyDescent="0.25">
      <c r="A590" s="152"/>
      <c r="B590" s="155"/>
      <c r="C590" s="41" t="s">
        <v>37</v>
      </c>
      <c r="D590" s="42">
        <v>104</v>
      </c>
      <c r="E590" s="42">
        <v>103.9</v>
      </c>
      <c r="F590" s="42">
        <v>0.1</v>
      </c>
      <c r="G590" s="61">
        <f>SUM(E590/D590)</f>
        <v>0.99903846153846154</v>
      </c>
      <c r="H590" s="41" t="s">
        <v>1135</v>
      </c>
      <c r="I590" s="43" t="s">
        <v>340</v>
      </c>
      <c r="J590" s="44">
        <v>9</v>
      </c>
      <c r="K590" s="63">
        <v>27</v>
      </c>
      <c r="L590" s="41" t="s">
        <v>1143</v>
      </c>
      <c r="M590" s="45"/>
    </row>
    <row r="591" spans="1:13" ht="63.75" thickBot="1" x14ac:dyDescent="0.3">
      <c r="A591" s="153"/>
      <c r="B591" s="156"/>
      <c r="C591" s="41"/>
      <c r="D591" s="42"/>
      <c r="E591" s="42"/>
      <c r="F591" s="42"/>
      <c r="G591" s="42"/>
      <c r="H591" s="41" t="s">
        <v>1138</v>
      </c>
      <c r="I591" s="43" t="s">
        <v>18</v>
      </c>
      <c r="J591" s="44">
        <v>4</v>
      </c>
      <c r="K591" s="47">
        <v>4</v>
      </c>
      <c r="L591" s="41" t="s">
        <v>1144</v>
      </c>
      <c r="M591" s="45"/>
    </row>
    <row r="592" spans="1:13" ht="111" thickBot="1" x14ac:dyDescent="0.3">
      <c r="A592" s="64" t="s">
        <v>1145</v>
      </c>
      <c r="B592" s="65" t="s">
        <v>1146</v>
      </c>
      <c r="C592" s="33" t="s">
        <v>23</v>
      </c>
      <c r="D592" s="66">
        <v>429.3</v>
      </c>
      <c r="E592" s="66"/>
      <c r="F592" s="66">
        <v>429.3</v>
      </c>
      <c r="G592" s="35">
        <f t="shared" ref="G592:G609" si="21">SUM(E592/D592)</f>
        <v>0</v>
      </c>
      <c r="H592" s="33" t="s">
        <v>1136</v>
      </c>
      <c r="I592" s="36" t="s">
        <v>340</v>
      </c>
      <c r="J592" s="37">
        <v>6</v>
      </c>
      <c r="K592" s="54">
        <v>0</v>
      </c>
      <c r="L592" s="33" t="s">
        <v>1137</v>
      </c>
      <c r="M592" s="39" t="s">
        <v>1856</v>
      </c>
    </row>
    <row r="593" spans="1:17" ht="110.25" x14ac:dyDescent="0.25">
      <c r="A593" s="151" t="s">
        <v>1147</v>
      </c>
      <c r="B593" s="154" t="s">
        <v>1148</v>
      </c>
      <c r="C593" s="33"/>
      <c r="D593" s="34">
        <f>SUM(D594:D596)</f>
        <v>1387.2</v>
      </c>
      <c r="E593" s="34">
        <f>SUM(E594:E596)</f>
        <v>12</v>
      </c>
      <c r="F593" s="34">
        <f>SUM(F594:F596)</f>
        <v>1375.2</v>
      </c>
      <c r="G593" s="53">
        <f t="shared" si="21"/>
        <v>8.6505190311418675E-3</v>
      </c>
      <c r="H593" s="33" t="s">
        <v>1149</v>
      </c>
      <c r="I593" s="36" t="s">
        <v>18</v>
      </c>
      <c r="J593" s="37">
        <v>2</v>
      </c>
      <c r="K593" s="54">
        <v>0</v>
      </c>
      <c r="L593" s="33" t="s">
        <v>1150</v>
      </c>
      <c r="M593" s="39" t="s">
        <v>1858</v>
      </c>
    </row>
    <row r="594" spans="1:17" x14ac:dyDescent="0.25">
      <c r="A594" s="152"/>
      <c r="B594" s="155"/>
      <c r="C594" s="41" t="s">
        <v>78</v>
      </c>
      <c r="D594" s="42">
        <v>309.89999999999998</v>
      </c>
      <c r="E594" s="42"/>
      <c r="F594" s="42">
        <v>309.89999999999998</v>
      </c>
      <c r="G594" s="57">
        <f t="shared" si="21"/>
        <v>0</v>
      </c>
      <c r="H594" s="58"/>
      <c r="I594" s="43"/>
      <c r="J594" s="44"/>
      <c r="K594" s="44"/>
      <c r="L594" s="41"/>
      <c r="M594" s="45"/>
    </row>
    <row r="595" spans="1:17" x14ac:dyDescent="0.25">
      <c r="A595" s="152"/>
      <c r="B595" s="155"/>
      <c r="C595" s="41" t="s">
        <v>217</v>
      </c>
      <c r="D595" s="42">
        <v>932.9</v>
      </c>
      <c r="E595" s="42"/>
      <c r="F595" s="42">
        <v>932.9</v>
      </c>
      <c r="G595" s="57">
        <f t="shared" si="21"/>
        <v>0</v>
      </c>
      <c r="H595" s="58"/>
      <c r="I595" s="43"/>
      <c r="J595" s="44"/>
      <c r="K595" s="44"/>
      <c r="L595" s="41"/>
      <c r="M595" s="45"/>
    </row>
    <row r="596" spans="1:17" ht="16.5" thickBot="1" x14ac:dyDescent="0.3">
      <c r="A596" s="153"/>
      <c r="B596" s="156"/>
      <c r="C596" s="41" t="s">
        <v>23</v>
      </c>
      <c r="D596" s="42">
        <v>144.4</v>
      </c>
      <c r="E596" s="42">
        <v>12</v>
      </c>
      <c r="F596" s="42">
        <v>132.4</v>
      </c>
      <c r="G596" s="61">
        <f t="shared" si="21"/>
        <v>8.3102493074792241E-2</v>
      </c>
      <c r="H596" s="41"/>
      <c r="I596" s="43"/>
      <c r="J596" s="44"/>
      <c r="K596" s="44"/>
      <c r="L596" s="41"/>
      <c r="M596" s="45"/>
    </row>
    <row r="597" spans="1:17" ht="158.25" thickBot="1" x14ac:dyDescent="0.3">
      <c r="A597" s="64" t="s">
        <v>1151</v>
      </c>
      <c r="B597" s="65" t="s">
        <v>1152</v>
      </c>
      <c r="C597" s="33" t="s">
        <v>23</v>
      </c>
      <c r="D597" s="66">
        <v>80</v>
      </c>
      <c r="E597" s="66">
        <v>77.599999999999994</v>
      </c>
      <c r="F597" s="66">
        <v>2.4</v>
      </c>
      <c r="G597" s="35">
        <f t="shared" si="21"/>
        <v>0.97</v>
      </c>
      <c r="H597" s="33" t="s">
        <v>1153</v>
      </c>
      <c r="I597" s="36" t="s">
        <v>27</v>
      </c>
      <c r="J597" s="37">
        <v>100</v>
      </c>
      <c r="K597" s="38">
        <v>100</v>
      </c>
      <c r="L597" s="33" t="s">
        <v>1154</v>
      </c>
      <c r="M597" s="39" t="s">
        <v>1859</v>
      </c>
    </row>
    <row r="598" spans="1:17" ht="126.75" thickBot="1" x14ac:dyDescent="0.3">
      <c r="A598" s="64" t="s">
        <v>1155</v>
      </c>
      <c r="B598" s="65" t="s">
        <v>1156</v>
      </c>
      <c r="C598" s="33" t="s">
        <v>23</v>
      </c>
      <c r="D598" s="66">
        <v>200</v>
      </c>
      <c r="E598" s="66">
        <v>190.8</v>
      </c>
      <c r="F598" s="66">
        <v>9.1999999999999993</v>
      </c>
      <c r="G598" s="35">
        <f t="shared" si="21"/>
        <v>0.95400000000000007</v>
      </c>
      <c r="H598" s="33" t="s">
        <v>1157</v>
      </c>
      <c r="I598" s="36" t="s">
        <v>340</v>
      </c>
      <c r="J598" s="37">
        <v>2</v>
      </c>
      <c r="K598" s="62">
        <v>1</v>
      </c>
      <c r="L598" s="33" t="s">
        <v>1158</v>
      </c>
      <c r="M598" s="39" t="s">
        <v>1860</v>
      </c>
    </row>
    <row r="599" spans="1:17" ht="48" thickBot="1" x14ac:dyDescent="0.3">
      <c r="A599" s="64" t="s">
        <v>1159</v>
      </c>
      <c r="B599" s="65" t="s">
        <v>1160</v>
      </c>
      <c r="C599" s="33" t="s">
        <v>23</v>
      </c>
      <c r="D599" s="66">
        <v>96.8</v>
      </c>
      <c r="E599" s="66">
        <v>47.4</v>
      </c>
      <c r="F599" s="66">
        <v>49.4</v>
      </c>
      <c r="G599" s="35">
        <f t="shared" si="21"/>
        <v>0.48966942148760328</v>
      </c>
      <c r="H599" s="33" t="s">
        <v>1161</v>
      </c>
      <c r="I599" s="36" t="s">
        <v>18</v>
      </c>
      <c r="J599" s="37">
        <v>1</v>
      </c>
      <c r="K599" s="92">
        <v>0.5</v>
      </c>
      <c r="L599" s="33" t="s">
        <v>1162</v>
      </c>
      <c r="M599" s="39" t="s">
        <v>1861</v>
      </c>
    </row>
    <row r="600" spans="1:17" ht="32.25" thickBot="1" x14ac:dyDescent="0.3">
      <c r="A600" s="10" t="s">
        <v>1163</v>
      </c>
      <c r="B600" s="11" t="s">
        <v>1164</v>
      </c>
      <c r="C600" s="12"/>
      <c r="D600" s="13">
        <f>SUM(D601:D601)</f>
        <v>3035.9</v>
      </c>
      <c r="E600" s="13">
        <f>SUM(E601:E601)</f>
        <v>2696.3</v>
      </c>
      <c r="F600" s="13">
        <f>SUM(F601:F601)</f>
        <v>339.59999999999997</v>
      </c>
      <c r="G600" s="14">
        <f t="shared" si="21"/>
        <v>0.88813860799104061</v>
      </c>
      <c r="H600" s="126"/>
      <c r="I600" s="127"/>
      <c r="J600" s="127"/>
      <c r="K600" s="127"/>
      <c r="L600" s="127"/>
      <c r="M600" s="128"/>
      <c r="O600" s="23"/>
      <c r="P600" s="24" t="s">
        <v>1</v>
      </c>
      <c r="Q600" s="24" t="s">
        <v>1931</v>
      </c>
    </row>
    <row r="601" spans="1:17" ht="95.25" thickBot="1" x14ac:dyDescent="0.3">
      <c r="A601" s="15" t="s">
        <v>1165</v>
      </c>
      <c r="B601" s="16" t="s">
        <v>1166</v>
      </c>
      <c r="C601" s="17"/>
      <c r="D601" s="18">
        <f>D602+D616+D639+0.1</f>
        <v>3035.9</v>
      </c>
      <c r="E601" s="18">
        <f>E602+E616+E639</f>
        <v>2696.3</v>
      </c>
      <c r="F601" s="18">
        <f>F602+F616+F639</f>
        <v>339.59999999999997</v>
      </c>
      <c r="G601" s="19">
        <f t="shared" si="21"/>
        <v>0.88813860799104061</v>
      </c>
      <c r="H601" s="17" t="s">
        <v>1167</v>
      </c>
      <c r="I601" s="20" t="s">
        <v>27</v>
      </c>
      <c r="J601" s="21">
        <v>1</v>
      </c>
      <c r="K601" s="21">
        <v>4.5</v>
      </c>
      <c r="L601" s="17" t="s">
        <v>1168</v>
      </c>
      <c r="M601" s="22" t="s">
        <v>1862</v>
      </c>
      <c r="O601" s="30"/>
      <c r="P601" s="31" t="s">
        <v>1712</v>
      </c>
      <c r="Q601" s="32">
        <v>4</v>
      </c>
    </row>
    <row r="602" spans="1:17" ht="48" thickBot="1" x14ac:dyDescent="0.3">
      <c r="A602" s="25" t="s">
        <v>1169</v>
      </c>
      <c r="B602" s="26" t="s">
        <v>1170</v>
      </c>
      <c r="C602" s="27"/>
      <c r="D602" s="28">
        <f>D603+D606+D609+D613</f>
        <v>907.3</v>
      </c>
      <c r="E602" s="28">
        <f>E603+E606+E609+E613</f>
        <v>662.7</v>
      </c>
      <c r="F602" s="28">
        <f>F603+F606+F609+F613</f>
        <v>244.7</v>
      </c>
      <c r="G602" s="29">
        <f t="shared" si="21"/>
        <v>0.73040890554392157</v>
      </c>
      <c r="H602" s="129"/>
      <c r="I602" s="130"/>
      <c r="J602" s="130"/>
      <c r="K602" s="130"/>
      <c r="L602" s="130"/>
      <c r="M602" s="131"/>
      <c r="O602" s="40"/>
      <c r="P602" s="31" t="s">
        <v>1713</v>
      </c>
      <c r="Q602" s="32">
        <v>2</v>
      </c>
    </row>
    <row r="603" spans="1:17" ht="63.75" customHeight="1" x14ac:dyDescent="0.25">
      <c r="A603" s="151" t="s">
        <v>1171</v>
      </c>
      <c r="B603" s="154" t="s">
        <v>1172</v>
      </c>
      <c r="C603" s="33"/>
      <c r="D603" s="34">
        <f>SUM(D604:D605)</f>
        <v>40</v>
      </c>
      <c r="E603" s="34"/>
      <c r="F603" s="34">
        <f>SUM(F604:F605)</f>
        <v>40</v>
      </c>
      <c r="G603" s="53">
        <f t="shared" si="21"/>
        <v>0</v>
      </c>
      <c r="H603" s="33" t="s">
        <v>1149</v>
      </c>
      <c r="I603" s="36" t="s">
        <v>18</v>
      </c>
      <c r="J603" s="37"/>
      <c r="K603" s="37"/>
      <c r="L603" s="33"/>
      <c r="M603" s="39"/>
      <c r="O603" s="1"/>
      <c r="P603" s="2" t="s">
        <v>1714</v>
      </c>
      <c r="Q603" s="48">
        <v>5</v>
      </c>
    </row>
    <row r="604" spans="1:17" ht="236.25" x14ac:dyDescent="0.25">
      <c r="A604" s="152"/>
      <c r="B604" s="155"/>
      <c r="C604" s="41" t="s">
        <v>37</v>
      </c>
      <c r="D604" s="42">
        <v>36.299999999999997</v>
      </c>
      <c r="E604" s="42"/>
      <c r="F604" s="42">
        <v>36.299999999999997</v>
      </c>
      <c r="G604" s="57">
        <f t="shared" si="21"/>
        <v>0</v>
      </c>
      <c r="H604" s="58" t="s">
        <v>1173</v>
      </c>
      <c r="I604" s="43" t="s">
        <v>18</v>
      </c>
      <c r="J604" s="44">
        <v>1</v>
      </c>
      <c r="K604" s="49">
        <v>0</v>
      </c>
      <c r="L604" s="41" t="s">
        <v>1174</v>
      </c>
      <c r="M604" s="45" t="s">
        <v>1863</v>
      </c>
      <c r="O604" s="50"/>
      <c r="P604" s="31" t="s">
        <v>1716</v>
      </c>
      <c r="Q604" s="48">
        <v>4</v>
      </c>
    </row>
    <row r="605" spans="1:17" ht="32.25" thickBot="1" x14ac:dyDescent="0.3">
      <c r="A605" s="153"/>
      <c r="B605" s="156"/>
      <c r="C605" s="41" t="s">
        <v>23</v>
      </c>
      <c r="D605" s="42">
        <v>3.7</v>
      </c>
      <c r="E605" s="42"/>
      <c r="F605" s="42">
        <v>3.7</v>
      </c>
      <c r="G605" s="61">
        <f t="shared" si="21"/>
        <v>0</v>
      </c>
      <c r="H605" s="41"/>
      <c r="I605" s="43"/>
      <c r="J605" s="44"/>
      <c r="K605" s="44"/>
      <c r="L605" s="41"/>
      <c r="M605" s="45"/>
      <c r="O605" s="52"/>
      <c r="P605" s="31" t="s">
        <v>1717</v>
      </c>
      <c r="Q605" s="48">
        <v>2</v>
      </c>
    </row>
    <row r="606" spans="1:17" ht="135" customHeight="1" x14ac:dyDescent="0.25">
      <c r="A606" s="151" t="s">
        <v>1175</v>
      </c>
      <c r="B606" s="154" t="s">
        <v>1176</v>
      </c>
      <c r="C606" s="33"/>
      <c r="D606" s="34">
        <f>SUM(D607:D608)</f>
        <v>398.4</v>
      </c>
      <c r="E606" s="34">
        <f>SUM(E607:E608)</f>
        <v>347.5</v>
      </c>
      <c r="F606" s="34">
        <f>SUM(F607:F608)</f>
        <v>50.9</v>
      </c>
      <c r="G606" s="53">
        <f t="shared" si="21"/>
        <v>0.87223895582329325</v>
      </c>
      <c r="H606" s="33" t="s">
        <v>1177</v>
      </c>
      <c r="I606" s="36" t="s">
        <v>27</v>
      </c>
      <c r="J606" s="37">
        <v>60</v>
      </c>
      <c r="K606" s="38">
        <v>60</v>
      </c>
      <c r="L606" s="33" t="s">
        <v>1178</v>
      </c>
      <c r="M606" s="39" t="s">
        <v>1864</v>
      </c>
      <c r="O606" s="23"/>
      <c r="P606" s="55" t="s">
        <v>1715</v>
      </c>
      <c r="Q606" s="48">
        <f>+SUM(Q601:Q605)</f>
        <v>17</v>
      </c>
    </row>
    <row r="607" spans="1:17" ht="94.5" x14ac:dyDescent="0.25">
      <c r="A607" s="152"/>
      <c r="B607" s="155"/>
      <c r="C607" s="41" t="s">
        <v>37</v>
      </c>
      <c r="D607" s="42">
        <v>104.1</v>
      </c>
      <c r="E607" s="42">
        <v>104.1</v>
      </c>
      <c r="F607" s="42"/>
      <c r="G607" s="57">
        <f t="shared" si="21"/>
        <v>1</v>
      </c>
      <c r="H607" s="58" t="s">
        <v>1179</v>
      </c>
      <c r="I607" s="43" t="s">
        <v>27</v>
      </c>
      <c r="J607" s="44"/>
      <c r="K607" s="44"/>
      <c r="L607" s="41"/>
      <c r="M607" s="45"/>
    </row>
    <row r="608" spans="1:17" ht="16.5" thickBot="1" x14ac:dyDescent="0.3">
      <c r="A608" s="153"/>
      <c r="B608" s="156"/>
      <c r="C608" s="41" t="s">
        <v>23</v>
      </c>
      <c r="D608" s="42">
        <v>294.3</v>
      </c>
      <c r="E608" s="42">
        <v>243.4</v>
      </c>
      <c r="F608" s="42">
        <v>50.9</v>
      </c>
      <c r="G608" s="61">
        <f t="shared" si="21"/>
        <v>0.82704723071695552</v>
      </c>
      <c r="H608" s="41"/>
      <c r="I608" s="43"/>
      <c r="J608" s="44"/>
      <c r="K608" s="44"/>
      <c r="L608" s="41"/>
      <c r="M608" s="45"/>
    </row>
    <row r="609" spans="1:13" ht="48" customHeight="1" x14ac:dyDescent="0.25">
      <c r="A609" s="151" t="s">
        <v>1180</v>
      </c>
      <c r="B609" s="154" t="s">
        <v>1181</v>
      </c>
      <c r="C609" s="33" t="s">
        <v>23</v>
      </c>
      <c r="D609" s="34">
        <f>SUM(D610:D612)+380.7</f>
        <v>380.7</v>
      </c>
      <c r="E609" s="34">
        <f>SUM(E610:E612)+229</f>
        <v>229</v>
      </c>
      <c r="F609" s="34">
        <f>SUM(F610:F612)+151.7</f>
        <v>151.69999999999999</v>
      </c>
      <c r="G609" s="35">
        <f t="shared" si="21"/>
        <v>0.60152350932492782</v>
      </c>
      <c r="H609" s="33" t="s">
        <v>1182</v>
      </c>
      <c r="I609" s="36" t="s">
        <v>27</v>
      </c>
      <c r="J609" s="37">
        <v>100</v>
      </c>
      <c r="K609" s="38">
        <v>100</v>
      </c>
      <c r="L609" s="33" t="s">
        <v>1183</v>
      </c>
      <c r="M609" s="39"/>
    </row>
    <row r="610" spans="1:13" ht="6" hidden="1" customHeight="1" x14ac:dyDescent="0.25">
      <c r="A610" s="152"/>
      <c r="B610" s="155"/>
      <c r="C610" s="41"/>
      <c r="D610" s="42"/>
      <c r="E610" s="42"/>
      <c r="F610" s="42"/>
      <c r="G610" s="42"/>
      <c r="H610" s="41" t="s">
        <v>1184</v>
      </c>
      <c r="I610" s="43" t="s">
        <v>27</v>
      </c>
      <c r="J610" s="44"/>
      <c r="K610" s="44"/>
      <c r="L610" s="41"/>
      <c r="M610" s="45"/>
    </row>
    <row r="611" spans="1:13" ht="47.25" hidden="1" x14ac:dyDescent="0.25">
      <c r="A611" s="152"/>
      <c r="B611" s="155"/>
      <c r="C611" s="41"/>
      <c r="D611" s="42"/>
      <c r="E611" s="42"/>
      <c r="F611" s="42"/>
      <c r="G611" s="42"/>
      <c r="H611" s="41" t="s">
        <v>1185</v>
      </c>
      <c r="I611" s="43" t="s">
        <v>27</v>
      </c>
      <c r="J611" s="44"/>
      <c r="K611" s="44"/>
      <c r="L611" s="41"/>
      <c r="M611" s="45"/>
    </row>
    <row r="612" spans="1:13" ht="79.5" thickBot="1" x14ac:dyDescent="0.3">
      <c r="A612" s="153"/>
      <c r="B612" s="156"/>
      <c r="C612" s="41"/>
      <c r="D612" s="42"/>
      <c r="E612" s="42"/>
      <c r="F612" s="42"/>
      <c r="G612" s="42"/>
      <c r="H612" s="41" t="s">
        <v>1186</v>
      </c>
      <c r="I612" s="43" t="s">
        <v>27</v>
      </c>
      <c r="J612" s="44">
        <v>100</v>
      </c>
      <c r="K612" s="49">
        <v>0</v>
      </c>
      <c r="L612" s="41" t="s">
        <v>1187</v>
      </c>
      <c r="M612" s="45" t="s">
        <v>1865</v>
      </c>
    </row>
    <row r="613" spans="1:13" ht="63" x14ac:dyDescent="0.25">
      <c r="A613" s="151" t="s">
        <v>1188</v>
      </c>
      <c r="B613" s="154" t="s">
        <v>1189</v>
      </c>
      <c r="C613" s="33"/>
      <c r="D613" s="34">
        <f>SUM(D614:D615)</f>
        <v>88.2</v>
      </c>
      <c r="E613" s="34">
        <f>SUM(E614:E615)+0.1</f>
        <v>86.2</v>
      </c>
      <c r="F613" s="34">
        <f>SUM(F614:F615)</f>
        <v>2.1</v>
      </c>
      <c r="G613" s="53">
        <f t="shared" ref="G613:G632" si="22">SUM(E613/D613)</f>
        <v>0.9773242630385488</v>
      </c>
      <c r="H613" s="33" t="s">
        <v>1190</v>
      </c>
      <c r="I613" s="36" t="s">
        <v>340</v>
      </c>
      <c r="J613" s="37">
        <v>37677</v>
      </c>
      <c r="K613" s="62">
        <v>33050</v>
      </c>
      <c r="L613" s="33"/>
      <c r="M613" s="39" t="s">
        <v>1866</v>
      </c>
    </row>
    <row r="614" spans="1:13" ht="126" x14ac:dyDescent="0.25">
      <c r="A614" s="152"/>
      <c r="B614" s="155"/>
      <c r="C614" s="41" t="s">
        <v>37</v>
      </c>
      <c r="D614" s="42">
        <v>80.5</v>
      </c>
      <c r="E614" s="42">
        <v>80.400000000000006</v>
      </c>
      <c r="F614" s="42">
        <v>0.1</v>
      </c>
      <c r="G614" s="57">
        <f t="shared" si="22"/>
        <v>0.99875776397515537</v>
      </c>
      <c r="H614" s="58" t="s">
        <v>1191</v>
      </c>
      <c r="I614" s="43" t="s">
        <v>18</v>
      </c>
      <c r="J614" s="44">
        <v>1</v>
      </c>
      <c r="K614" s="47">
        <v>1</v>
      </c>
      <c r="L614" s="41" t="s">
        <v>1192</v>
      </c>
      <c r="M614" s="45" t="s">
        <v>1867</v>
      </c>
    </row>
    <row r="615" spans="1:13" ht="16.5" thickBot="1" x14ac:dyDescent="0.3">
      <c r="A615" s="153"/>
      <c r="B615" s="156"/>
      <c r="C615" s="41" t="s">
        <v>78</v>
      </c>
      <c r="D615" s="42">
        <v>7.7</v>
      </c>
      <c r="E615" s="42">
        <v>5.7</v>
      </c>
      <c r="F615" s="42">
        <v>2</v>
      </c>
      <c r="G615" s="61">
        <f t="shared" si="22"/>
        <v>0.74025974025974028</v>
      </c>
      <c r="H615" s="41"/>
      <c r="I615" s="43"/>
      <c r="J615" s="44"/>
      <c r="K615" s="44"/>
      <c r="L615" s="41"/>
      <c r="M615" s="45"/>
    </row>
    <row r="616" spans="1:13" ht="79.5" thickBot="1" x14ac:dyDescent="0.3">
      <c r="A616" s="25" t="s">
        <v>1193</v>
      </c>
      <c r="B616" s="26" t="s">
        <v>1194</v>
      </c>
      <c r="C616" s="27"/>
      <c r="D616" s="28">
        <f>D617+D620+D625+D630+D636</f>
        <v>1554.5</v>
      </c>
      <c r="E616" s="28">
        <f>E617+E620+E625+E630+E636</f>
        <v>1537.1</v>
      </c>
      <c r="F616" s="28">
        <f>F617+F620+F625+F630+F636</f>
        <v>17.399999999999999</v>
      </c>
      <c r="G616" s="29">
        <f t="shared" si="22"/>
        <v>0.98880669025410095</v>
      </c>
      <c r="H616" s="129"/>
      <c r="I616" s="130"/>
      <c r="J616" s="130"/>
      <c r="K616" s="130"/>
      <c r="L616" s="130"/>
      <c r="M616" s="131"/>
    </row>
    <row r="617" spans="1:13" ht="63" x14ac:dyDescent="0.25">
      <c r="A617" s="151" t="s">
        <v>1195</v>
      </c>
      <c r="B617" s="154" t="s">
        <v>1196</v>
      </c>
      <c r="C617" s="33"/>
      <c r="D617" s="34">
        <f>SUM(D618:D619)</f>
        <v>91.9</v>
      </c>
      <c r="E617" s="34">
        <f>SUM(E618:E619)</f>
        <v>83.9</v>
      </c>
      <c r="F617" s="34">
        <f>SUM(F618:F619)</f>
        <v>8</v>
      </c>
      <c r="G617" s="53">
        <f t="shared" si="22"/>
        <v>0.91294885745375409</v>
      </c>
      <c r="H617" s="33" t="s">
        <v>1197</v>
      </c>
      <c r="I617" s="36" t="s">
        <v>340</v>
      </c>
      <c r="J617" s="37">
        <v>500</v>
      </c>
      <c r="K617" s="60">
        <v>7188</v>
      </c>
      <c r="L617" s="33" t="s">
        <v>1198</v>
      </c>
      <c r="M617" s="39" t="s">
        <v>1868</v>
      </c>
    </row>
    <row r="618" spans="1:13" x14ac:dyDescent="0.25">
      <c r="A618" s="152"/>
      <c r="B618" s="155"/>
      <c r="C618" s="41" t="s">
        <v>290</v>
      </c>
      <c r="D618" s="42">
        <v>46</v>
      </c>
      <c r="E618" s="42">
        <v>39.799999999999997</v>
      </c>
      <c r="F618" s="42">
        <v>6.2</v>
      </c>
      <c r="G618" s="57">
        <f t="shared" si="22"/>
        <v>0.86521739130434772</v>
      </c>
      <c r="H618" s="58"/>
      <c r="I618" s="43"/>
      <c r="J618" s="44"/>
      <c r="K618" s="44"/>
      <c r="L618" s="41"/>
      <c r="M618" s="45"/>
    </row>
    <row r="619" spans="1:13" ht="16.5" thickBot="1" x14ac:dyDescent="0.3">
      <c r="A619" s="153"/>
      <c r="B619" s="156"/>
      <c r="C619" s="41" t="s">
        <v>320</v>
      </c>
      <c r="D619" s="42">
        <v>45.9</v>
      </c>
      <c r="E619" s="42">
        <v>44.1</v>
      </c>
      <c r="F619" s="42">
        <v>1.8</v>
      </c>
      <c r="G619" s="61">
        <f t="shared" si="22"/>
        <v>0.96078431372549022</v>
      </c>
      <c r="H619" s="41"/>
      <c r="I619" s="43"/>
      <c r="J619" s="44"/>
      <c r="K619" s="44"/>
      <c r="L619" s="41"/>
      <c r="M619" s="45"/>
    </row>
    <row r="620" spans="1:13" ht="110.25" x14ac:dyDescent="0.25">
      <c r="A620" s="151" t="s">
        <v>1199</v>
      </c>
      <c r="B620" s="154" t="s">
        <v>1200</v>
      </c>
      <c r="C620" s="33"/>
      <c r="D620" s="34">
        <f>SUM(D621:D624)</f>
        <v>29.8</v>
      </c>
      <c r="E620" s="34">
        <f>SUM(E621:E624)</f>
        <v>22.599999999999998</v>
      </c>
      <c r="F620" s="34">
        <f>SUM(F621:F624)</f>
        <v>7.2</v>
      </c>
      <c r="G620" s="53">
        <f t="shared" si="22"/>
        <v>0.75838926174496635</v>
      </c>
      <c r="H620" s="33" t="s">
        <v>1201</v>
      </c>
      <c r="I620" s="36" t="s">
        <v>340</v>
      </c>
      <c r="J620" s="37">
        <v>30</v>
      </c>
      <c r="K620" s="62">
        <v>29</v>
      </c>
      <c r="L620" s="33" t="s">
        <v>1202</v>
      </c>
      <c r="M620" s="39"/>
    </row>
    <row r="621" spans="1:13" x14ac:dyDescent="0.25">
      <c r="A621" s="152"/>
      <c r="B621" s="155"/>
      <c r="C621" s="41" t="s">
        <v>189</v>
      </c>
      <c r="D621" s="42">
        <v>1</v>
      </c>
      <c r="E621" s="42">
        <v>0.5</v>
      </c>
      <c r="F621" s="42">
        <v>0.5</v>
      </c>
      <c r="G621" s="57">
        <f t="shared" si="22"/>
        <v>0.5</v>
      </c>
      <c r="H621" s="58"/>
      <c r="I621" s="43"/>
      <c r="J621" s="44"/>
      <c r="K621" s="44"/>
      <c r="L621" s="41"/>
      <c r="M621" s="45"/>
    </row>
    <row r="622" spans="1:13" x14ac:dyDescent="0.25">
      <c r="A622" s="152"/>
      <c r="B622" s="155"/>
      <c r="C622" s="41" t="s">
        <v>186</v>
      </c>
      <c r="D622" s="42">
        <v>1.7</v>
      </c>
      <c r="E622" s="42">
        <v>1.5</v>
      </c>
      <c r="F622" s="42">
        <v>0.2</v>
      </c>
      <c r="G622" s="57">
        <f t="shared" si="22"/>
        <v>0.88235294117647056</v>
      </c>
      <c r="H622" s="58"/>
      <c r="I622" s="43"/>
      <c r="J622" s="44"/>
      <c r="K622" s="44"/>
      <c r="L622" s="41"/>
      <c r="M622" s="45"/>
    </row>
    <row r="623" spans="1:13" x14ac:dyDescent="0.25">
      <c r="A623" s="152"/>
      <c r="B623" s="155"/>
      <c r="C623" s="41" t="s">
        <v>23</v>
      </c>
      <c r="D623" s="42">
        <v>1</v>
      </c>
      <c r="E623" s="42">
        <v>0.4</v>
      </c>
      <c r="F623" s="42">
        <v>0.6</v>
      </c>
      <c r="G623" s="57">
        <f t="shared" si="22"/>
        <v>0.4</v>
      </c>
      <c r="H623" s="58"/>
      <c r="I623" s="43"/>
      <c r="J623" s="44"/>
      <c r="K623" s="44"/>
      <c r="L623" s="41"/>
      <c r="M623" s="45"/>
    </row>
    <row r="624" spans="1:13" ht="16.5" thickBot="1" x14ac:dyDescent="0.3">
      <c r="A624" s="153"/>
      <c r="B624" s="156"/>
      <c r="C624" s="41" t="s">
        <v>213</v>
      </c>
      <c r="D624" s="42">
        <v>26.1</v>
      </c>
      <c r="E624" s="42">
        <v>20.2</v>
      </c>
      <c r="F624" s="42">
        <v>5.9</v>
      </c>
      <c r="G624" s="61">
        <f t="shared" si="22"/>
        <v>0.77394636015325668</v>
      </c>
      <c r="H624" s="41"/>
      <c r="I624" s="43"/>
      <c r="J624" s="44"/>
      <c r="K624" s="44"/>
      <c r="L624" s="41"/>
      <c r="M624" s="45"/>
    </row>
    <row r="625" spans="1:13" ht="31.5" x14ac:dyDescent="0.25">
      <c r="A625" s="151" t="s">
        <v>1203</v>
      </c>
      <c r="B625" s="154" t="s">
        <v>1204</v>
      </c>
      <c r="C625" s="33"/>
      <c r="D625" s="34">
        <f>SUM(D626:D629)</f>
        <v>168.29999999999998</v>
      </c>
      <c r="E625" s="34">
        <f>SUM(E626:E629)</f>
        <v>166.1</v>
      </c>
      <c r="F625" s="34">
        <f>SUM(F626:F629)</f>
        <v>2.2000000000000002</v>
      </c>
      <c r="G625" s="53">
        <f t="shared" si="22"/>
        <v>0.98692810457516345</v>
      </c>
      <c r="H625" s="33" t="s">
        <v>1205</v>
      </c>
      <c r="I625" s="36" t="s">
        <v>340</v>
      </c>
      <c r="J625" s="37">
        <v>300</v>
      </c>
      <c r="K625" s="60">
        <v>350</v>
      </c>
      <c r="L625" s="33" t="s">
        <v>1206</v>
      </c>
      <c r="M625" s="39" t="s">
        <v>1869</v>
      </c>
    </row>
    <row r="626" spans="1:13" x14ac:dyDescent="0.25">
      <c r="A626" s="152"/>
      <c r="B626" s="155"/>
      <c r="C626" s="41" t="s">
        <v>189</v>
      </c>
      <c r="D626" s="42">
        <v>1.4</v>
      </c>
      <c r="E626" s="42">
        <v>0.4</v>
      </c>
      <c r="F626" s="42">
        <v>1</v>
      </c>
      <c r="G626" s="57">
        <f t="shared" si="22"/>
        <v>0.28571428571428575</v>
      </c>
      <c r="H626" s="58"/>
      <c r="I626" s="43"/>
      <c r="J626" s="44"/>
      <c r="K626" s="44"/>
      <c r="L626" s="41"/>
      <c r="M626" s="45"/>
    </row>
    <row r="627" spans="1:13" x14ac:dyDescent="0.25">
      <c r="A627" s="152"/>
      <c r="B627" s="155"/>
      <c r="C627" s="41" t="s">
        <v>37</v>
      </c>
      <c r="D627" s="42">
        <v>31.7</v>
      </c>
      <c r="E627" s="42">
        <v>31.7</v>
      </c>
      <c r="F627" s="42"/>
      <c r="G627" s="57">
        <f t="shared" si="22"/>
        <v>1</v>
      </c>
      <c r="H627" s="58"/>
      <c r="I627" s="43"/>
      <c r="J627" s="44"/>
      <c r="K627" s="44"/>
      <c r="L627" s="41"/>
      <c r="M627" s="45"/>
    </row>
    <row r="628" spans="1:13" x14ac:dyDescent="0.25">
      <c r="A628" s="152"/>
      <c r="B628" s="155"/>
      <c r="C628" s="41" t="s">
        <v>183</v>
      </c>
      <c r="D628" s="42">
        <v>1.5</v>
      </c>
      <c r="E628" s="42">
        <v>0.3</v>
      </c>
      <c r="F628" s="42">
        <v>1.2</v>
      </c>
      <c r="G628" s="57">
        <f t="shared" si="22"/>
        <v>0.19999999999999998</v>
      </c>
      <c r="H628" s="58"/>
      <c r="I628" s="43"/>
      <c r="J628" s="44"/>
      <c r="K628" s="44"/>
      <c r="L628" s="41"/>
      <c r="M628" s="45"/>
    </row>
    <row r="629" spans="1:13" ht="16.5" thickBot="1" x14ac:dyDescent="0.3">
      <c r="A629" s="153"/>
      <c r="B629" s="156"/>
      <c r="C629" s="41" t="s">
        <v>23</v>
      </c>
      <c r="D629" s="42">
        <v>133.69999999999999</v>
      </c>
      <c r="E629" s="42">
        <v>133.69999999999999</v>
      </c>
      <c r="F629" s="42"/>
      <c r="G629" s="61">
        <f t="shared" si="22"/>
        <v>1</v>
      </c>
      <c r="H629" s="41"/>
      <c r="I629" s="43"/>
      <c r="J629" s="44"/>
      <c r="K629" s="44"/>
      <c r="L629" s="41"/>
      <c r="M629" s="45"/>
    </row>
    <row r="630" spans="1:13" ht="105" customHeight="1" x14ac:dyDescent="0.25">
      <c r="A630" s="151" t="s">
        <v>1207</v>
      </c>
      <c r="B630" s="154" t="s">
        <v>1208</v>
      </c>
      <c r="C630" s="33"/>
      <c r="D630" s="34">
        <f>SUM(D631:D635)</f>
        <v>1150.5</v>
      </c>
      <c r="E630" s="34">
        <f>SUM(E631:E635)</f>
        <v>1150.5</v>
      </c>
      <c r="F630" s="34"/>
      <c r="G630" s="53">
        <f t="shared" si="22"/>
        <v>1</v>
      </c>
      <c r="H630" s="33" t="s">
        <v>1209</v>
      </c>
      <c r="I630" s="36" t="s">
        <v>340</v>
      </c>
      <c r="J630" s="37">
        <v>69</v>
      </c>
      <c r="K630" s="62">
        <v>63</v>
      </c>
      <c r="L630" s="33" t="s">
        <v>1210</v>
      </c>
      <c r="M630" s="39" t="s">
        <v>1870</v>
      </c>
    </row>
    <row r="631" spans="1:13" ht="47.25" x14ac:dyDescent="0.25">
      <c r="A631" s="152"/>
      <c r="B631" s="155"/>
      <c r="C631" s="41" t="s">
        <v>23</v>
      </c>
      <c r="D631" s="42">
        <v>229</v>
      </c>
      <c r="E631" s="42">
        <v>229</v>
      </c>
      <c r="F631" s="42"/>
      <c r="G631" s="57">
        <f t="shared" si="22"/>
        <v>1</v>
      </c>
      <c r="H631" s="58" t="s">
        <v>1211</v>
      </c>
      <c r="I631" s="43" t="s">
        <v>340</v>
      </c>
      <c r="J631" s="44">
        <v>30000</v>
      </c>
      <c r="K631" s="63">
        <v>66174</v>
      </c>
      <c r="L631" s="41" t="s">
        <v>1212</v>
      </c>
      <c r="M631" s="45" t="s">
        <v>1871</v>
      </c>
    </row>
    <row r="632" spans="1:13" ht="47.25" x14ac:dyDescent="0.25">
      <c r="A632" s="152"/>
      <c r="B632" s="155"/>
      <c r="C632" s="41" t="s">
        <v>792</v>
      </c>
      <c r="D632" s="42">
        <v>921.5</v>
      </c>
      <c r="E632" s="42">
        <v>921.5</v>
      </c>
      <c r="F632" s="42"/>
      <c r="G632" s="61">
        <f t="shared" si="22"/>
        <v>1</v>
      </c>
      <c r="H632" s="41" t="s">
        <v>1213</v>
      </c>
      <c r="I632" s="43" t="s">
        <v>340</v>
      </c>
      <c r="J632" s="44">
        <v>1500</v>
      </c>
      <c r="K632" s="49">
        <v>0</v>
      </c>
      <c r="L632" s="41" t="s">
        <v>1214</v>
      </c>
      <c r="M632" s="45"/>
    </row>
    <row r="633" spans="1:13" ht="63" x14ac:dyDescent="0.25">
      <c r="A633" s="152"/>
      <c r="B633" s="155"/>
      <c r="C633" s="41"/>
      <c r="D633" s="42"/>
      <c r="E633" s="42"/>
      <c r="F633" s="42"/>
      <c r="G633" s="42"/>
      <c r="H633" s="41" t="s">
        <v>1215</v>
      </c>
      <c r="I633" s="43" t="s">
        <v>340</v>
      </c>
      <c r="J633" s="44">
        <v>1</v>
      </c>
      <c r="K633" s="47">
        <v>1</v>
      </c>
      <c r="L633" s="41" t="s">
        <v>1216</v>
      </c>
      <c r="M633" s="45"/>
    </row>
    <row r="634" spans="1:13" ht="47.25" x14ac:dyDescent="0.25">
      <c r="A634" s="152"/>
      <c r="B634" s="155"/>
      <c r="C634" s="41"/>
      <c r="D634" s="42"/>
      <c r="E634" s="42"/>
      <c r="F634" s="42"/>
      <c r="G634" s="42"/>
      <c r="H634" s="41" t="s">
        <v>1217</v>
      </c>
      <c r="I634" s="43" t="s">
        <v>340</v>
      </c>
      <c r="J634" s="44">
        <v>20000</v>
      </c>
      <c r="K634" s="63">
        <v>20102</v>
      </c>
      <c r="L634" s="41" t="s">
        <v>1218</v>
      </c>
      <c r="M634" s="45"/>
    </row>
    <row r="635" spans="1:13" ht="79.5" thickBot="1" x14ac:dyDescent="0.3">
      <c r="A635" s="153"/>
      <c r="B635" s="156"/>
      <c r="C635" s="41"/>
      <c r="D635" s="42"/>
      <c r="E635" s="42"/>
      <c r="F635" s="42"/>
      <c r="G635" s="42"/>
      <c r="H635" s="41" t="s">
        <v>1219</v>
      </c>
      <c r="I635" s="43" t="s">
        <v>340</v>
      </c>
      <c r="J635" s="44">
        <v>64</v>
      </c>
      <c r="K635" s="63">
        <v>67</v>
      </c>
      <c r="L635" s="41" t="s">
        <v>1220</v>
      </c>
      <c r="M635" s="45"/>
    </row>
    <row r="636" spans="1:13" ht="105" customHeight="1" x14ac:dyDescent="0.25">
      <c r="A636" s="151" t="s">
        <v>1221</v>
      </c>
      <c r="B636" s="154" t="s">
        <v>1222</v>
      </c>
      <c r="C636" s="33"/>
      <c r="D636" s="34">
        <f>SUM(D637:D638)</f>
        <v>114</v>
      </c>
      <c r="E636" s="34">
        <f>SUM(E637:E638)</f>
        <v>114</v>
      </c>
      <c r="F636" s="34"/>
      <c r="G636" s="53">
        <f>SUM(E636/D636)</f>
        <v>1</v>
      </c>
      <c r="H636" s="33" t="s">
        <v>1223</v>
      </c>
      <c r="I636" s="36" t="s">
        <v>340</v>
      </c>
      <c r="J636" s="37">
        <v>1300</v>
      </c>
      <c r="K636" s="60">
        <v>2283</v>
      </c>
      <c r="L636" s="33" t="s">
        <v>1224</v>
      </c>
      <c r="M636" s="39" t="s">
        <v>1872</v>
      </c>
    </row>
    <row r="637" spans="1:13" ht="31.5" x14ac:dyDescent="0.25">
      <c r="A637" s="152"/>
      <c r="B637" s="155"/>
      <c r="C637" s="41" t="s">
        <v>78</v>
      </c>
      <c r="D637" s="42">
        <v>10</v>
      </c>
      <c r="E637" s="42">
        <v>10</v>
      </c>
      <c r="F637" s="42"/>
      <c r="G637" s="57">
        <f>SUM(E637/D637)</f>
        <v>1</v>
      </c>
      <c r="H637" s="58" t="s">
        <v>1225</v>
      </c>
      <c r="I637" s="43" t="s">
        <v>340</v>
      </c>
      <c r="J637" s="44">
        <v>180</v>
      </c>
      <c r="K637" s="63">
        <v>250</v>
      </c>
      <c r="L637" s="41" t="s">
        <v>1226</v>
      </c>
      <c r="M637" s="45" t="s">
        <v>1872</v>
      </c>
    </row>
    <row r="638" spans="1:13" ht="16.5" thickBot="1" x14ac:dyDescent="0.3">
      <c r="A638" s="153"/>
      <c r="B638" s="156"/>
      <c r="C638" s="41" t="s">
        <v>792</v>
      </c>
      <c r="D638" s="42">
        <v>104</v>
      </c>
      <c r="E638" s="42">
        <v>104</v>
      </c>
      <c r="F638" s="42"/>
      <c r="G638" s="61">
        <f>SUM(E638/D638)</f>
        <v>1</v>
      </c>
      <c r="H638" s="41" t="s">
        <v>1227</v>
      </c>
      <c r="I638" s="43" t="s">
        <v>340</v>
      </c>
      <c r="J638" s="44">
        <v>10</v>
      </c>
      <c r="K638" s="63">
        <v>30</v>
      </c>
      <c r="L638" s="41" t="s">
        <v>1228</v>
      </c>
      <c r="M638" s="45" t="s">
        <v>1873</v>
      </c>
    </row>
    <row r="639" spans="1:13" ht="48" thickBot="1" x14ac:dyDescent="0.3">
      <c r="A639" s="25" t="s">
        <v>1229</v>
      </c>
      <c r="B639" s="26" t="s">
        <v>1230</v>
      </c>
      <c r="C639" s="27"/>
      <c r="D639" s="28">
        <f>D640+D644+D645+D650+D653+D656+D658+D659</f>
        <v>574</v>
      </c>
      <c r="E639" s="28">
        <f>E640+E644+E645+E650+E653+E656+E658+E659-0.2</f>
        <v>496.50000000000006</v>
      </c>
      <c r="F639" s="28">
        <f>F640+F644+F645+F650+F653+F656+F658+F659+0.2</f>
        <v>77.5</v>
      </c>
      <c r="G639" s="29">
        <f>SUM(E639/D639)</f>
        <v>0.8649825783972126</v>
      </c>
      <c r="H639" s="129"/>
      <c r="I639" s="130"/>
      <c r="J639" s="130"/>
      <c r="K639" s="130"/>
      <c r="L639" s="130"/>
      <c r="M639" s="131"/>
    </row>
    <row r="640" spans="1:13" ht="60" customHeight="1" x14ac:dyDescent="0.25">
      <c r="A640" s="151" t="s">
        <v>1231</v>
      </c>
      <c r="B640" s="154" t="s">
        <v>1232</v>
      </c>
      <c r="C640" s="33" t="s">
        <v>23</v>
      </c>
      <c r="D640" s="34">
        <f>SUM(D641:D643)+40</f>
        <v>40</v>
      </c>
      <c r="E640" s="34">
        <f>SUM(E641:E643)+30</f>
        <v>30</v>
      </c>
      <c r="F640" s="34">
        <f>SUM(F641:F643)+10</f>
        <v>10</v>
      </c>
      <c r="G640" s="35">
        <f>SUM(E640/D640)</f>
        <v>0.75</v>
      </c>
      <c r="H640" s="33" t="s">
        <v>1233</v>
      </c>
      <c r="I640" s="36" t="s">
        <v>340</v>
      </c>
      <c r="J640" s="37">
        <v>2</v>
      </c>
      <c r="K640" s="54">
        <v>0</v>
      </c>
      <c r="L640" s="33" t="s">
        <v>1234</v>
      </c>
      <c r="M640" s="39" t="s">
        <v>1874</v>
      </c>
    </row>
    <row r="641" spans="1:13" ht="31.5" x14ac:dyDescent="0.25">
      <c r="A641" s="152"/>
      <c r="B641" s="155"/>
      <c r="C641" s="41"/>
      <c r="D641" s="42"/>
      <c r="E641" s="42"/>
      <c r="F641" s="42"/>
      <c r="G641" s="42"/>
      <c r="H641" s="41" t="s">
        <v>1235</v>
      </c>
      <c r="I641" s="43" t="s">
        <v>340</v>
      </c>
      <c r="J641" s="44">
        <v>4</v>
      </c>
      <c r="K641" s="49">
        <v>0</v>
      </c>
      <c r="L641" s="41" t="s">
        <v>1236</v>
      </c>
      <c r="M641" s="45" t="s">
        <v>1874</v>
      </c>
    </row>
    <row r="642" spans="1:13" x14ac:dyDescent="0.25">
      <c r="A642" s="152"/>
      <c r="B642" s="155"/>
      <c r="C642" s="41"/>
      <c r="D642" s="42"/>
      <c r="E642" s="42"/>
      <c r="F642" s="42"/>
      <c r="G642" s="42"/>
      <c r="H642" s="41" t="s">
        <v>1237</v>
      </c>
      <c r="I642" s="43" t="s">
        <v>340</v>
      </c>
      <c r="J642" s="44">
        <v>2</v>
      </c>
      <c r="K642" s="72">
        <v>1</v>
      </c>
      <c r="L642" s="41" t="s">
        <v>1238</v>
      </c>
      <c r="M642" s="45"/>
    </row>
    <row r="643" spans="1:13" ht="95.25" thickBot="1" x14ac:dyDescent="0.3">
      <c r="A643" s="153"/>
      <c r="B643" s="156"/>
      <c r="C643" s="41"/>
      <c r="D643" s="42"/>
      <c r="E643" s="42"/>
      <c r="F643" s="42"/>
      <c r="G643" s="42"/>
      <c r="H643" s="41" t="s">
        <v>1239</v>
      </c>
      <c r="I643" s="43" t="s">
        <v>340</v>
      </c>
      <c r="J643" s="44">
        <v>1200</v>
      </c>
      <c r="K643" s="72">
        <v>1004</v>
      </c>
      <c r="L643" s="41" t="s">
        <v>1240</v>
      </c>
      <c r="M643" s="45" t="s">
        <v>1875</v>
      </c>
    </row>
    <row r="644" spans="1:13" ht="48" thickBot="1" x14ac:dyDescent="0.3">
      <c r="A644" s="64" t="s">
        <v>1241</v>
      </c>
      <c r="B644" s="65" t="s">
        <v>1242</v>
      </c>
      <c r="C644" s="33" t="s">
        <v>290</v>
      </c>
      <c r="D644" s="66">
        <v>10</v>
      </c>
      <c r="E644" s="66">
        <v>3.2</v>
      </c>
      <c r="F644" s="66">
        <v>6.8</v>
      </c>
      <c r="G644" s="35">
        <f t="shared" ref="G644:G656" si="23">SUM(E644/D644)</f>
        <v>0.32</v>
      </c>
      <c r="H644" s="33" t="s">
        <v>1243</v>
      </c>
      <c r="I644" s="36" t="s">
        <v>340</v>
      </c>
      <c r="J644" s="37">
        <v>10</v>
      </c>
      <c r="K644" s="74">
        <v>2</v>
      </c>
      <c r="L644" s="33" t="s">
        <v>1244</v>
      </c>
      <c r="M644" s="39" t="s">
        <v>1874</v>
      </c>
    </row>
    <row r="645" spans="1:13" ht="110.25" x14ac:dyDescent="0.25">
      <c r="A645" s="151" t="s">
        <v>1245</v>
      </c>
      <c r="B645" s="154" t="s">
        <v>1246</v>
      </c>
      <c r="C645" s="33"/>
      <c r="D645" s="34">
        <f>SUM(D646:D649)</f>
        <v>25</v>
      </c>
      <c r="E645" s="34">
        <f>SUM(E646:E649)</f>
        <v>2</v>
      </c>
      <c r="F645" s="34">
        <f>SUM(F646:F649)</f>
        <v>23</v>
      </c>
      <c r="G645" s="53">
        <f t="shared" si="23"/>
        <v>0.08</v>
      </c>
      <c r="H645" s="33" t="s">
        <v>1247</v>
      </c>
      <c r="I645" s="36" t="s">
        <v>340</v>
      </c>
      <c r="J645" s="37">
        <v>20</v>
      </c>
      <c r="K645" s="62">
        <v>13</v>
      </c>
      <c r="L645" s="33" t="s">
        <v>1248</v>
      </c>
      <c r="M645" s="39" t="s">
        <v>1876</v>
      </c>
    </row>
    <row r="646" spans="1:13" x14ac:dyDescent="0.25">
      <c r="A646" s="152"/>
      <c r="B646" s="155"/>
      <c r="C646" s="41" t="s">
        <v>78</v>
      </c>
      <c r="D646" s="42">
        <v>1.5</v>
      </c>
      <c r="E646" s="42">
        <v>0.1</v>
      </c>
      <c r="F646" s="42">
        <v>1.4</v>
      </c>
      <c r="G646" s="57">
        <f t="shared" si="23"/>
        <v>6.6666666666666666E-2</v>
      </c>
      <c r="H646" s="58"/>
      <c r="I646" s="43"/>
      <c r="J646" s="44"/>
      <c r="K646" s="44"/>
      <c r="L646" s="41"/>
      <c r="M646" s="45"/>
    </row>
    <row r="647" spans="1:13" x14ac:dyDescent="0.25">
      <c r="A647" s="152"/>
      <c r="B647" s="155"/>
      <c r="C647" s="41" t="s">
        <v>208</v>
      </c>
      <c r="D647" s="42">
        <v>15.5</v>
      </c>
      <c r="E647" s="42">
        <v>0.8</v>
      </c>
      <c r="F647" s="42">
        <v>14.7</v>
      </c>
      <c r="G647" s="57">
        <f t="shared" si="23"/>
        <v>5.1612903225806452E-2</v>
      </c>
      <c r="H647" s="58"/>
      <c r="I647" s="43"/>
      <c r="J647" s="44"/>
      <c r="K647" s="44"/>
      <c r="L647" s="41"/>
      <c r="M647" s="45"/>
    </row>
    <row r="648" spans="1:13" x14ac:dyDescent="0.25">
      <c r="A648" s="152"/>
      <c r="B648" s="155"/>
      <c r="C648" s="41" t="s">
        <v>37</v>
      </c>
      <c r="D648" s="42">
        <v>1</v>
      </c>
      <c r="E648" s="42">
        <v>1</v>
      </c>
      <c r="F648" s="42"/>
      <c r="G648" s="57">
        <f t="shared" si="23"/>
        <v>1</v>
      </c>
      <c r="H648" s="58"/>
      <c r="I648" s="43"/>
      <c r="J648" s="44"/>
      <c r="K648" s="44"/>
      <c r="L648" s="41"/>
      <c r="M648" s="45"/>
    </row>
    <row r="649" spans="1:13" ht="16.5" thickBot="1" x14ac:dyDescent="0.3">
      <c r="A649" s="153"/>
      <c r="B649" s="156"/>
      <c r="C649" s="41" t="s">
        <v>23</v>
      </c>
      <c r="D649" s="42">
        <v>7</v>
      </c>
      <c r="E649" s="42">
        <v>0.1</v>
      </c>
      <c r="F649" s="42">
        <v>6.9</v>
      </c>
      <c r="G649" s="61">
        <f t="shared" si="23"/>
        <v>1.4285714285714287E-2</v>
      </c>
      <c r="H649" s="41"/>
      <c r="I649" s="43"/>
      <c r="J649" s="44"/>
      <c r="K649" s="44"/>
      <c r="L649" s="41"/>
      <c r="M649" s="45"/>
    </row>
    <row r="650" spans="1:13" ht="94.5" x14ac:dyDescent="0.25">
      <c r="A650" s="151" t="s">
        <v>1249</v>
      </c>
      <c r="B650" s="154" t="s">
        <v>1250</v>
      </c>
      <c r="C650" s="33"/>
      <c r="D650" s="34">
        <f>SUM(D651:D652)</f>
        <v>69.5</v>
      </c>
      <c r="E650" s="34">
        <f>SUM(E651:E652)</f>
        <v>59.3</v>
      </c>
      <c r="F650" s="34">
        <f>SUM(F651:F652)</f>
        <v>10.199999999999999</v>
      </c>
      <c r="G650" s="53">
        <f t="shared" si="23"/>
        <v>0.85323741007194243</v>
      </c>
      <c r="H650" s="33" t="s">
        <v>1251</v>
      </c>
      <c r="I650" s="36" t="s">
        <v>340</v>
      </c>
      <c r="J650" s="37">
        <v>1200</v>
      </c>
      <c r="K650" s="62">
        <v>890</v>
      </c>
      <c r="L650" s="33" t="s">
        <v>1252</v>
      </c>
      <c r="M650" s="39" t="s">
        <v>1877</v>
      </c>
    </row>
    <row r="651" spans="1:13" x14ac:dyDescent="0.25">
      <c r="A651" s="152"/>
      <c r="B651" s="155"/>
      <c r="C651" s="41" t="s">
        <v>208</v>
      </c>
      <c r="D651" s="42">
        <v>59</v>
      </c>
      <c r="E651" s="42">
        <v>50.4</v>
      </c>
      <c r="F651" s="42">
        <v>8.6</v>
      </c>
      <c r="G651" s="57">
        <f t="shared" si="23"/>
        <v>0.85423728813559319</v>
      </c>
      <c r="H651" s="58"/>
      <c r="I651" s="43"/>
      <c r="J651" s="44"/>
      <c r="K651" s="44"/>
      <c r="L651" s="41"/>
      <c r="M651" s="45"/>
    </row>
    <row r="652" spans="1:13" ht="16.5" thickBot="1" x14ac:dyDescent="0.3">
      <c r="A652" s="153"/>
      <c r="B652" s="156"/>
      <c r="C652" s="41" t="s">
        <v>78</v>
      </c>
      <c r="D652" s="42">
        <v>10.5</v>
      </c>
      <c r="E652" s="42">
        <v>8.9</v>
      </c>
      <c r="F652" s="42">
        <v>1.6</v>
      </c>
      <c r="G652" s="61">
        <f t="shared" si="23"/>
        <v>0.84761904761904761</v>
      </c>
      <c r="H652" s="41"/>
      <c r="I652" s="43"/>
      <c r="J652" s="44"/>
      <c r="K652" s="44"/>
      <c r="L652" s="41"/>
      <c r="M652" s="45"/>
    </row>
    <row r="653" spans="1:13" ht="47.25" x14ac:dyDescent="0.25">
      <c r="A653" s="151" t="s">
        <v>1253</v>
      </c>
      <c r="B653" s="154" t="s">
        <v>1254</v>
      </c>
      <c r="C653" s="33"/>
      <c r="D653" s="34">
        <f>SUM(D654:D655)</f>
        <v>349.5</v>
      </c>
      <c r="E653" s="34">
        <f>SUM(E654:E655)</f>
        <v>349.5</v>
      </c>
      <c r="F653" s="34"/>
      <c r="G653" s="53">
        <f t="shared" si="23"/>
        <v>1</v>
      </c>
      <c r="H653" s="33" t="s">
        <v>1255</v>
      </c>
      <c r="I653" s="36" t="s">
        <v>340</v>
      </c>
      <c r="J653" s="37">
        <v>4</v>
      </c>
      <c r="K653" s="60">
        <v>14</v>
      </c>
      <c r="L653" s="33" t="s">
        <v>1256</v>
      </c>
      <c r="M653" s="39"/>
    </row>
    <row r="654" spans="1:13" ht="31.5" x14ac:dyDescent="0.25">
      <c r="A654" s="152"/>
      <c r="B654" s="155"/>
      <c r="C654" s="41" t="s">
        <v>23</v>
      </c>
      <c r="D654" s="42">
        <v>299.5</v>
      </c>
      <c r="E654" s="42">
        <v>299.5</v>
      </c>
      <c r="F654" s="42"/>
      <c r="G654" s="57">
        <f t="shared" si="23"/>
        <v>1</v>
      </c>
      <c r="H654" s="58" t="s">
        <v>1257</v>
      </c>
      <c r="I654" s="43" t="s">
        <v>340</v>
      </c>
      <c r="J654" s="44">
        <v>5</v>
      </c>
      <c r="K654" s="63">
        <v>7</v>
      </c>
      <c r="L654" s="41" t="s">
        <v>1258</v>
      </c>
      <c r="M654" s="45"/>
    </row>
    <row r="655" spans="1:13" ht="16.5" thickBot="1" x14ac:dyDescent="0.3">
      <c r="A655" s="153"/>
      <c r="B655" s="156"/>
      <c r="C655" s="41" t="s">
        <v>37</v>
      </c>
      <c r="D655" s="42">
        <v>50</v>
      </c>
      <c r="E655" s="42">
        <v>50</v>
      </c>
      <c r="F655" s="42"/>
      <c r="G655" s="61">
        <f t="shared" si="23"/>
        <v>1</v>
      </c>
      <c r="H655" s="41"/>
      <c r="I655" s="43"/>
      <c r="J655" s="44"/>
      <c r="K655" s="44"/>
      <c r="L655" s="41"/>
      <c r="M655" s="45"/>
    </row>
    <row r="656" spans="1:13" ht="90" customHeight="1" x14ac:dyDescent="0.25">
      <c r="A656" s="151" t="s">
        <v>1259</v>
      </c>
      <c r="B656" s="154" t="s">
        <v>1260</v>
      </c>
      <c r="C656" s="33" t="s">
        <v>290</v>
      </c>
      <c r="D656" s="34">
        <f>SUM(D657:D657)+7</f>
        <v>7</v>
      </c>
      <c r="E656" s="34">
        <f>SUM(E657:E657)+5.5</f>
        <v>5.5</v>
      </c>
      <c r="F656" s="34">
        <f>SUM(F657:F657)+1.5</f>
        <v>1.5</v>
      </c>
      <c r="G656" s="35">
        <f t="shared" si="23"/>
        <v>0.7857142857142857</v>
      </c>
      <c r="H656" s="33" t="s">
        <v>1261</v>
      </c>
      <c r="I656" s="36" t="s">
        <v>340</v>
      </c>
      <c r="J656" s="37">
        <v>4</v>
      </c>
      <c r="K656" s="62">
        <v>3</v>
      </c>
      <c r="L656" s="33" t="s">
        <v>1262</v>
      </c>
      <c r="M656" s="39" t="s">
        <v>1878</v>
      </c>
    </row>
    <row r="657" spans="1:17" ht="32.25" thickBot="1" x14ac:dyDescent="0.3">
      <c r="A657" s="153"/>
      <c r="B657" s="156"/>
      <c r="C657" s="41"/>
      <c r="D657" s="42"/>
      <c r="E657" s="42"/>
      <c r="F657" s="42"/>
      <c r="G657" s="42"/>
      <c r="H657" s="41" t="s">
        <v>1263</v>
      </c>
      <c r="I657" s="43" t="s">
        <v>340</v>
      </c>
      <c r="J657" s="44">
        <v>68</v>
      </c>
      <c r="K657" s="63">
        <v>88</v>
      </c>
      <c r="L657" s="41" t="s">
        <v>1264</v>
      </c>
      <c r="M657" s="45" t="s">
        <v>1879</v>
      </c>
    </row>
    <row r="658" spans="1:17" ht="111" thickBot="1" x14ac:dyDescent="0.3">
      <c r="A658" s="64" t="s">
        <v>1265</v>
      </c>
      <c r="B658" s="65" t="s">
        <v>1266</v>
      </c>
      <c r="C658" s="33" t="s">
        <v>37</v>
      </c>
      <c r="D658" s="66">
        <v>46.4</v>
      </c>
      <c r="E658" s="66">
        <v>31.1</v>
      </c>
      <c r="F658" s="66">
        <v>15.3</v>
      </c>
      <c r="G658" s="35">
        <f t="shared" ref="G658:G663" si="24">SUM(E658/D658)</f>
        <v>0.67025862068965525</v>
      </c>
      <c r="H658" s="33" t="s">
        <v>343</v>
      </c>
      <c r="I658" s="36" t="s">
        <v>18</v>
      </c>
      <c r="J658" s="37">
        <v>1</v>
      </c>
      <c r="K658" s="54">
        <v>0</v>
      </c>
      <c r="L658" s="33" t="s">
        <v>1267</v>
      </c>
      <c r="M658" s="39" t="s">
        <v>1880</v>
      </c>
    </row>
    <row r="659" spans="1:17" ht="236.25" x14ac:dyDescent="0.25">
      <c r="A659" s="151" t="s">
        <v>1268</v>
      </c>
      <c r="B659" s="154" t="s">
        <v>1269</v>
      </c>
      <c r="C659" s="33"/>
      <c r="D659" s="34">
        <f>SUM(D660:D661)</f>
        <v>26.6</v>
      </c>
      <c r="E659" s="34">
        <f>SUM(E660:E661)</f>
        <v>16.100000000000001</v>
      </c>
      <c r="F659" s="34">
        <f>SUM(F660:F661)</f>
        <v>10.5</v>
      </c>
      <c r="G659" s="53">
        <f t="shared" si="24"/>
        <v>0.60526315789473684</v>
      </c>
      <c r="H659" s="33" t="s">
        <v>1270</v>
      </c>
      <c r="I659" s="36" t="s">
        <v>340</v>
      </c>
      <c r="J659" s="37">
        <v>5</v>
      </c>
      <c r="K659" s="38">
        <v>5</v>
      </c>
      <c r="L659" s="33" t="s">
        <v>1271</v>
      </c>
      <c r="M659" s="39" t="s">
        <v>1881</v>
      </c>
    </row>
    <row r="660" spans="1:17" x14ac:dyDescent="0.25">
      <c r="A660" s="152"/>
      <c r="B660" s="155"/>
      <c r="C660" s="41" t="s">
        <v>78</v>
      </c>
      <c r="D660" s="42">
        <v>16.100000000000001</v>
      </c>
      <c r="E660" s="42">
        <v>16.100000000000001</v>
      </c>
      <c r="F660" s="42"/>
      <c r="G660" s="57">
        <f t="shared" si="24"/>
        <v>1</v>
      </c>
      <c r="H660" s="58"/>
      <c r="I660" s="43"/>
      <c r="J660" s="44"/>
      <c r="K660" s="44"/>
      <c r="L660" s="41"/>
      <c r="M660" s="45"/>
    </row>
    <row r="661" spans="1:17" ht="16.5" thickBot="1" x14ac:dyDescent="0.3">
      <c r="A661" s="153"/>
      <c r="B661" s="156"/>
      <c r="C661" s="41" t="s">
        <v>23</v>
      </c>
      <c r="D661" s="42">
        <v>10.5</v>
      </c>
      <c r="E661" s="42"/>
      <c r="F661" s="42">
        <v>10.5</v>
      </c>
      <c r="G661" s="61">
        <f t="shared" si="24"/>
        <v>0</v>
      </c>
      <c r="H661" s="41"/>
      <c r="I661" s="43"/>
      <c r="J661" s="44"/>
      <c r="K661" s="44"/>
      <c r="L661" s="41"/>
      <c r="M661" s="45"/>
    </row>
    <row r="662" spans="1:17" ht="32.25" thickBot="1" x14ac:dyDescent="0.3">
      <c r="A662" s="10" t="s">
        <v>1272</v>
      </c>
      <c r="B662" s="11" t="s">
        <v>1273</v>
      </c>
      <c r="C662" s="12"/>
      <c r="D662" s="13">
        <f>SUM(D663:D663)</f>
        <v>56784.1</v>
      </c>
      <c r="E662" s="13">
        <f>SUM(E663:E663)</f>
        <v>52466.600000000006</v>
      </c>
      <c r="F662" s="13">
        <f>SUM(F663:F663)</f>
        <v>4317.5</v>
      </c>
      <c r="G662" s="14">
        <f t="shared" si="24"/>
        <v>0.92396639200057773</v>
      </c>
      <c r="H662" s="126"/>
      <c r="I662" s="127"/>
      <c r="J662" s="127"/>
      <c r="K662" s="127"/>
      <c r="L662" s="127"/>
      <c r="M662" s="128"/>
      <c r="O662" s="23"/>
      <c r="P662" s="24" t="s">
        <v>1</v>
      </c>
      <c r="Q662" s="24" t="s">
        <v>1711</v>
      </c>
    </row>
    <row r="663" spans="1:17" ht="90" customHeight="1" x14ac:dyDescent="0.25">
      <c r="A663" s="157" t="s">
        <v>1274</v>
      </c>
      <c r="B663" s="160" t="s">
        <v>1275</v>
      </c>
      <c r="C663" s="17"/>
      <c r="D663" s="18">
        <f>D664+D665+D666+D722+D741</f>
        <v>56784.1</v>
      </c>
      <c r="E663" s="18">
        <f>E664+E665+E666+E722+E741</f>
        <v>52466.600000000006</v>
      </c>
      <c r="F663" s="18">
        <f>F664+F665+F666+F722+F741-0.1</f>
        <v>4317.5</v>
      </c>
      <c r="G663" s="19">
        <f t="shared" si="24"/>
        <v>0.92396639200057773</v>
      </c>
      <c r="H663" s="17" t="s">
        <v>1276</v>
      </c>
      <c r="I663" s="20" t="s">
        <v>27</v>
      </c>
      <c r="J663" s="21">
        <v>20.5</v>
      </c>
      <c r="K663" s="21">
        <v>21.6</v>
      </c>
      <c r="L663" s="17"/>
      <c r="M663" s="22"/>
      <c r="O663" s="30"/>
      <c r="P663" s="31" t="s">
        <v>1712</v>
      </c>
      <c r="Q663" s="32">
        <v>12</v>
      </c>
    </row>
    <row r="664" spans="1:17" ht="78.75" x14ac:dyDescent="0.25">
      <c r="A664" s="158"/>
      <c r="B664" s="161"/>
      <c r="C664" s="67"/>
      <c r="D664" s="68"/>
      <c r="E664" s="68"/>
      <c r="F664" s="68"/>
      <c r="G664" s="68"/>
      <c r="H664" s="67" t="s">
        <v>1277</v>
      </c>
      <c r="I664" s="69" t="s">
        <v>27</v>
      </c>
      <c r="J664" s="70">
        <v>44.5</v>
      </c>
      <c r="K664" s="70">
        <v>0</v>
      </c>
      <c r="L664" s="67"/>
      <c r="M664" s="71"/>
      <c r="O664" s="40"/>
      <c r="P664" s="31" t="s">
        <v>1713</v>
      </c>
      <c r="Q664" s="32">
        <v>1</v>
      </c>
    </row>
    <row r="665" spans="1:17" ht="95.25" thickBot="1" x14ac:dyDescent="0.3">
      <c r="A665" s="159"/>
      <c r="B665" s="162"/>
      <c r="C665" s="67"/>
      <c r="D665" s="68"/>
      <c r="E665" s="68"/>
      <c r="F665" s="68"/>
      <c r="G665" s="68"/>
      <c r="H665" s="67" t="s">
        <v>1278</v>
      </c>
      <c r="I665" s="69" t="s">
        <v>27</v>
      </c>
      <c r="J665" s="70">
        <v>16.7</v>
      </c>
      <c r="K665" s="70">
        <v>0</v>
      </c>
      <c r="L665" s="67"/>
      <c r="M665" s="71"/>
      <c r="O665" s="1"/>
      <c r="P665" s="2" t="s">
        <v>1714</v>
      </c>
      <c r="Q665" s="48">
        <v>9</v>
      </c>
    </row>
    <row r="666" spans="1:17" ht="63.75" thickBot="1" x14ac:dyDescent="0.3">
      <c r="A666" s="25" t="s">
        <v>1279</v>
      </c>
      <c r="B666" s="26" t="s">
        <v>1280</v>
      </c>
      <c r="C666" s="27"/>
      <c r="D666" s="28">
        <f>D667+D671+D674+D678+D684+D693+D697+D701+D704+D706+D710+D714+D718+0.1</f>
        <v>14440.700000000003</v>
      </c>
      <c r="E666" s="28">
        <f>E667+E671+E674+E678+E684+E693+E697+E701+E704+E706+E710+E714+E718+0.1</f>
        <v>13435.7</v>
      </c>
      <c r="F666" s="28">
        <f>F667+F671+F674+F678+F684+F693+F697+F701+F704+F706+F710+F714+F718</f>
        <v>1005.0000000000001</v>
      </c>
      <c r="G666" s="29">
        <f t="shared" ref="G666:G693" si="25">SUM(E666/D666)</f>
        <v>0.93040503576696409</v>
      </c>
      <c r="H666" s="129"/>
      <c r="I666" s="130"/>
      <c r="J666" s="130"/>
      <c r="K666" s="130"/>
      <c r="L666" s="130"/>
      <c r="M666" s="131"/>
      <c r="O666" s="50"/>
      <c r="P666" s="31" t="s">
        <v>1716</v>
      </c>
      <c r="Q666" s="51">
        <v>4</v>
      </c>
    </row>
    <row r="667" spans="1:17" ht="120" customHeight="1" x14ac:dyDescent="0.25">
      <c r="A667" s="151" t="s">
        <v>1281</v>
      </c>
      <c r="B667" s="154" t="s">
        <v>1282</v>
      </c>
      <c r="C667" s="33"/>
      <c r="D667" s="34">
        <f>SUM(D668:D670)</f>
        <v>3839.7</v>
      </c>
      <c r="E667" s="34">
        <f>SUM(E668:E670)</f>
        <v>3764.4</v>
      </c>
      <c r="F667" s="34">
        <f>SUM(F668:F670)</f>
        <v>75.3</v>
      </c>
      <c r="G667" s="53">
        <f t="shared" si="25"/>
        <v>0.98038909289788267</v>
      </c>
      <c r="H667" s="33" t="s">
        <v>1283</v>
      </c>
      <c r="I667" s="36" t="s">
        <v>340</v>
      </c>
      <c r="J667" s="37">
        <v>3</v>
      </c>
      <c r="K667" s="38">
        <v>3</v>
      </c>
      <c r="L667" s="33" t="s">
        <v>1284</v>
      </c>
      <c r="M667" s="39"/>
      <c r="O667" s="52"/>
      <c r="P667" s="31" t="s">
        <v>1717</v>
      </c>
      <c r="Q667" s="48"/>
    </row>
    <row r="668" spans="1:17" ht="110.25" x14ac:dyDescent="0.25">
      <c r="A668" s="152"/>
      <c r="B668" s="155"/>
      <c r="C668" s="41" t="s">
        <v>792</v>
      </c>
      <c r="D668" s="42">
        <v>3084.7</v>
      </c>
      <c r="E668" s="42">
        <v>3034.4</v>
      </c>
      <c r="F668" s="42">
        <v>50.3</v>
      </c>
      <c r="G668" s="57">
        <f t="shared" si="25"/>
        <v>0.98369371413751749</v>
      </c>
      <c r="H668" s="58" t="s">
        <v>1285</v>
      </c>
      <c r="I668" s="43" t="s">
        <v>340</v>
      </c>
      <c r="J668" s="44">
        <v>610</v>
      </c>
      <c r="K668" s="63">
        <v>685</v>
      </c>
      <c r="L668" s="41"/>
      <c r="M668" s="45" t="s">
        <v>1882</v>
      </c>
      <c r="O668" s="23"/>
      <c r="P668" s="55" t="s">
        <v>1715</v>
      </c>
      <c r="Q668" s="48">
        <f>+SUM(Q663:Q667)</f>
        <v>26</v>
      </c>
    </row>
    <row r="669" spans="1:17" ht="47.25" x14ac:dyDescent="0.25">
      <c r="A669" s="152"/>
      <c r="B669" s="155"/>
      <c r="C669" s="41" t="s">
        <v>23</v>
      </c>
      <c r="D669" s="42">
        <v>630</v>
      </c>
      <c r="E669" s="42">
        <v>605</v>
      </c>
      <c r="F669" s="42">
        <v>25</v>
      </c>
      <c r="G669" s="57">
        <f t="shared" si="25"/>
        <v>0.96031746031746035</v>
      </c>
      <c r="H669" s="58" t="s">
        <v>1286</v>
      </c>
      <c r="I669" s="43" t="s">
        <v>340</v>
      </c>
      <c r="J669" s="44">
        <v>175</v>
      </c>
      <c r="K669" s="72">
        <v>145</v>
      </c>
      <c r="L669" s="41"/>
      <c r="M669" s="45" t="s">
        <v>1883</v>
      </c>
    </row>
    <row r="670" spans="1:17" ht="79.5" thickBot="1" x14ac:dyDescent="0.3">
      <c r="A670" s="153"/>
      <c r="B670" s="156"/>
      <c r="C670" s="41" t="s">
        <v>37</v>
      </c>
      <c r="D670" s="42">
        <v>125</v>
      </c>
      <c r="E670" s="42">
        <v>125</v>
      </c>
      <c r="F670" s="42"/>
      <c r="G670" s="61">
        <f t="shared" si="25"/>
        <v>1</v>
      </c>
      <c r="H670" s="41" t="s">
        <v>1287</v>
      </c>
      <c r="I670" s="43" t="s">
        <v>27</v>
      </c>
      <c r="J670" s="44">
        <v>100</v>
      </c>
      <c r="K670" s="47">
        <v>100</v>
      </c>
      <c r="L670" s="41"/>
      <c r="M670" s="45"/>
    </row>
    <row r="671" spans="1:17" ht="173.25" x14ac:dyDescent="0.25">
      <c r="A671" s="151" t="s">
        <v>1288</v>
      </c>
      <c r="B671" s="154" t="s">
        <v>1289</v>
      </c>
      <c r="C671" s="33"/>
      <c r="D671" s="34">
        <f>SUM(D672:D673)</f>
        <v>138.5</v>
      </c>
      <c r="E671" s="34">
        <f>SUM(E672:E673)</f>
        <v>132.1</v>
      </c>
      <c r="F671" s="34">
        <f>SUM(F672:F673)</f>
        <v>6.4</v>
      </c>
      <c r="G671" s="53">
        <f t="shared" si="25"/>
        <v>0.95379061371841156</v>
      </c>
      <c r="H671" s="33" t="s">
        <v>1290</v>
      </c>
      <c r="I671" s="36" t="s">
        <v>340</v>
      </c>
      <c r="J671" s="37">
        <v>32</v>
      </c>
      <c r="K671" s="62">
        <v>28</v>
      </c>
      <c r="L671" s="33" t="s">
        <v>1291</v>
      </c>
      <c r="M671" s="39" t="s">
        <v>1884</v>
      </c>
    </row>
    <row r="672" spans="1:17" x14ac:dyDescent="0.25">
      <c r="A672" s="152"/>
      <c r="B672" s="155"/>
      <c r="C672" s="41" t="s">
        <v>23</v>
      </c>
      <c r="D672" s="42">
        <v>9.6</v>
      </c>
      <c r="E672" s="42">
        <v>9.1</v>
      </c>
      <c r="F672" s="42">
        <v>0.5</v>
      </c>
      <c r="G672" s="57">
        <f t="shared" si="25"/>
        <v>0.94791666666666663</v>
      </c>
      <c r="H672" s="58"/>
      <c r="I672" s="43"/>
      <c r="J672" s="44"/>
      <c r="K672" s="44"/>
      <c r="L672" s="41"/>
      <c r="M672" s="45"/>
    </row>
    <row r="673" spans="1:13" ht="16.5" thickBot="1" x14ac:dyDescent="0.3">
      <c r="A673" s="153"/>
      <c r="B673" s="156"/>
      <c r="C673" s="41" t="s">
        <v>792</v>
      </c>
      <c r="D673" s="42">
        <v>128.9</v>
      </c>
      <c r="E673" s="42">
        <v>123</v>
      </c>
      <c r="F673" s="42">
        <v>5.9</v>
      </c>
      <c r="G673" s="61">
        <f t="shared" si="25"/>
        <v>0.95422808378588053</v>
      </c>
      <c r="H673" s="41"/>
      <c r="I673" s="43"/>
      <c r="J673" s="44"/>
      <c r="K673" s="44"/>
      <c r="L673" s="41"/>
      <c r="M673" s="45"/>
    </row>
    <row r="674" spans="1:13" ht="94.5" x14ac:dyDescent="0.25">
      <c r="A674" s="151" t="s">
        <v>1292</v>
      </c>
      <c r="B674" s="154" t="s">
        <v>1293</v>
      </c>
      <c r="C674" s="33"/>
      <c r="D674" s="34">
        <f>SUM(D675:D677)</f>
        <v>345.4</v>
      </c>
      <c r="E674" s="34">
        <f>SUM(E675:E677)+0.1</f>
        <v>193.5</v>
      </c>
      <c r="F674" s="34">
        <f>SUM(F675:F677)-0.1</f>
        <v>151.9</v>
      </c>
      <c r="G674" s="53">
        <f t="shared" si="25"/>
        <v>0.56022003474232773</v>
      </c>
      <c r="H674" s="33" t="s">
        <v>1294</v>
      </c>
      <c r="I674" s="36" t="s">
        <v>27</v>
      </c>
      <c r="J674" s="37">
        <v>80</v>
      </c>
      <c r="K674" s="62">
        <v>45.1</v>
      </c>
      <c r="L674" s="33" t="s">
        <v>1295</v>
      </c>
      <c r="M674" s="39" t="s">
        <v>1885</v>
      </c>
    </row>
    <row r="675" spans="1:13" x14ac:dyDescent="0.25">
      <c r="A675" s="152"/>
      <c r="B675" s="155"/>
      <c r="C675" s="41" t="s">
        <v>78</v>
      </c>
      <c r="D675" s="42">
        <v>224</v>
      </c>
      <c r="E675" s="42">
        <v>118.5</v>
      </c>
      <c r="F675" s="42">
        <v>105.5</v>
      </c>
      <c r="G675" s="57">
        <f t="shared" si="25"/>
        <v>0.5290178571428571</v>
      </c>
      <c r="H675" s="58"/>
      <c r="I675" s="43"/>
      <c r="J675" s="44"/>
      <c r="K675" s="44"/>
      <c r="L675" s="41"/>
      <c r="M675" s="45"/>
    </row>
    <row r="676" spans="1:13" x14ac:dyDescent="0.25">
      <c r="A676" s="152"/>
      <c r="B676" s="155"/>
      <c r="C676" s="41" t="s">
        <v>23</v>
      </c>
      <c r="D676" s="42">
        <v>75</v>
      </c>
      <c r="E676" s="42">
        <v>30.3</v>
      </c>
      <c r="F676" s="42">
        <v>44.7</v>
      </c>
      <c r="G676" s="57">
        <f t="shared" si="25"/>
        <v>0.40400000000000003</v>
      </c>
      <c r="H676" s="58"/>
      <c r="I676" s="43"/>
      <c r="J676" s="44"/>
      <c r="K676" s="44"/>
      <c r="L676" s="41"/>
      <c r="M676" s="45"/>
    </row>
    <row r="677" spans="1:13" ht="16.5" thickBot="1" x14ac:dyDescent="0.3">
      <c r="A677" s="153"/>
      <c r="B677" s="156"/>
      <c r="C677" s="41" t="s">
        <v>37</v>
      </c>
      <c r="D677" s="42">
        <v>46.4</v>
      </c>
      <c r="E677" s="42">
        <v>44.6</v>
      </c>
      <c r="F677" s="42">
        <v>1.8</v>
      </c>
      <c r="G677" s="61">
        <f t="shared" si="25"/>
        <v>0.9612068965517242</v>
      </c>
      <c r="H677" s="41"/>
      <c r="I677" s="43"/>
      <c r="J677" s="44"/>
      <c r="K677" s="44"/>
      <c r="L677" s="41"/>
      <c r="M677" s="45"/>
    </row>
    <row r="678" spans="1:13" ht="409.5" x14ac:dyDescent="0.25">
      <c r="A678" s="151" t="s">
        <v>1296</v>
      </c>
      <c r="B678" s="154" t="s">
        <v>1297</v>
      </c>
      <c r="C678" s="33"/>
      <c r="D678" s="34">
        <f>SUM(D679:D683)</f>
        <v>691.5</v>
      </c>
      <c r="E678" s="34">
        <f>SUM(E679:E683)</f>
        <v>603.20000000000005</v>
      </c>
      <c r="F678" s="34">
        <f>SUM(F679:F683)</f>
        <v>88.300000000000011</v>
      </c>
      <c r="G678" s="53">
        <f t="shared" si="25"/>
        <v>0.87230657989877081</v>
      </c>
      <c r="H678" s="33" t="s">
        <v>1283</v>
      </c>
      <c r="I678" s="36" t="s">
        <v>340</v>
      </c>
      <c r="J678" s="37">
        <v>9</v>
      </c>
      <c r="K678" s="38">
        <v>9</v>
      </c>
      <c r="L678" s="33" t="s">
        <v>1298</v>
      </c>
      <c r="M678" s="39" t="s">
        <v>1886</v>
      </c>
    </row>
    <row r="679" spans="1:13" ht="63" x14ac:dyDescent="0.25">
      <c r="A679" s="152"/>
      <c r="B679" s="155"/>
      <c r="C679" s="41" t="s">
        <v>78</v>
      </c>
      <c r="D679" s="42">
        <v>269.8</v>
      </c>
      <c r="E679" s="42">
        <v>268.10000000000002</v>
      </c>
      <c r="F679" s="42">
        <v>1.7</v>
      </c>
      <c r="G679" s="57">
        <f t="shared" si="25"/>
        <v>0.99369903632320244</v>
      </c>
      <c r="H679" s="58" t="s">
        <v>1299</v>
      </c>
      <c r="I679" s="43" t="s">
        <v>27</v>
      </c>
      <c r="J679" s="44">
        <v>100</v>
      </c>
      <c r="K679" s="47">
        <v>100</v>
      </c>
      <c r="L679" s="41" t="s">
        <v>1300</v>
      </c>
      <c r="M679" s="45" t="s">
        <v>1301</v>
      </c>
    </row>
    <row r="680" spans="1:13" ht="63" x14ac:dyDescent="0.25">
      <c r="A680" s="152"/>
      <c r="B680" s="155"/>
      <c r="C680" s="41" t="s">
        <v>23</v>
      </c>
      <c r="D680" s="42">
        <v>118.4</v>
      </c>
      <c r="E680" s="42">
        <v>73</v>
      </c>
      <c r="F680" s="42">
        <v>45.4</v>
      </c>
      <c r="G680" s="57">
        <f t="shared" si="25"/>
        <v>0.61655405405405406</v>
      </c>
      <c r="H680" s="58" t="s">
        <v>1302</v>
      </c>
      <c r="I680" s="43" t="s">
        <v>27</v>
      </c>
      <c r="J680" s="44">
        <v>100</v>
      </c>
      <c r="K680" s="47">
        <v>100</v>
      </c>
      <c r="L680" s="41"/>
      <c r="M680" s="45" t="s">
        <v>1301</v>
      </c>
    </row>
    <row r="681" spans="1:13" hidden="1" x14ac:dyDescent="0.25">
      <c r="A681" s="152"/>
      <c r="B681" s="155"/>
      <c r="C681" s="41" t="s">
        <v>186</v>
      </c>
      <c r="D681" s="42"/>
      <c r="E681" s="42"/>
      <c r="F681" s="42"/>
      <c r="G681" s="57" t="e">
        <f t="shared" si="25"/>
        <v>#DIV/0!</v>
      </c>
      <c r="H681" s="58"/>
      <c r="I681" s="43"/>
      <c r="J681" s="44"/>
      <c r="K681" s="44"/>
      <c r="L681" s="41"/>
      <c r="M681" s="45"/>
    </row>
    <row r="682" spans="1:13" x14ac:dyDescent="0.25">
      <c r="A682" s="152"/>
      <c r="B682" s="155"/>
      <c r="C682" s="41" t="s">
        <v>792</v>
      </c>
      <c r="D682" s="42">
        <v>275</v>
      </c>
      <c r="E682" s="42">
        <v>233.8</v>
      </c>
      <c r="F682" s="42">
        <v>41.2</v>
      </c>
      <c r="G682" s="57">
        <f t="shared" si="25"/>
        <v>0.85018181818181826</v>
      </c>
      <c r="H682" s="58"/>
      <c r="I682" s="43"/>
      <c r="J682" s="44"/>
      <c r="K682" s="44"/>
      <c r="L682" s="41"/>
      <c r="M682" s="45"/>
    </row>
    <row r="683" spans="1:13" ht="16.5" thickBot="1" x14ac:dyDescent="0.3">
      <c r="A683" s="153"/>
      <c r="B683" s="156"/>
      <c r="C683" s="41" t="s">
        <v>37</v>
      </c>
      <c r="D683" s="42">
        <v>28.3</v>
      </c>
      <c r="E683" s="42">
        <v>28.3</v>
      </c>
      <c r="F683" s="42"/>
      <c r="G683" s="61">
        <f t="shared" si="25"/>
        <v>1</v>
      </c>
      <c r="H683" s="41"/>
      <c r="I683" s="43"/>
      <c r="J683" s="44"/>
      <c r="K683" s="44"/>
      <c r="L683" s="41"/>
      <c r="M683" s="45"/>
    </row>
    <row r="684" spans="1:13" ht="315" x14ac:dyDescent="0.25">
      <c r="A684" s="151" t="s">
        <v>1303</v>
      </c>
      <c r="B684" s="154" t="s">
        <v>1304</v>
      </c>
      <c r="C684" s="33"/>
      <c r="D684" s="34">
        <f>SUM(D685:D692)</f>
        <v>6643.1</v>
      </c>
      <c r="E684" s="34">
        <f>SUM(E685:E692)+0.1</f>
        <v>6518.2</v>
      </c>
      <c r="F684" s="34">
        <f>SUM(F685:F692)+0.1</f>
        <v>125</v>
      </c>
      <c r="G684" s="53">
        <f t="shared" si="25"/>
        <v>0.98119853682768576</v>
      </c>
      <c r="H684" s="33" t="s">
        <v>1305</v>
      </c>
      <c r="I684" s="36" t="s">
        <v>340</v>
      </c>
      <c r="J684" s="37">
        <v>19</v>
      </c>
      <c r="K684" s="60">
        <v>21</v>
      </c>
      <c r="L684" s="33" t="s">
        <v>1306</v>
      </c>
      <c r="M684" s="39" t="s">
        <v>1887</v>
      </c>
    </row>
    <row r="685" spans="1:13" ht="47.25" x14ac:dyDescent="0.25">
      <c r="A685" s="152"/>
      <c r="B685" s="155"/>
      <c r="C685" s="41" t="s">
        <v>189</v>
      </c>
      <c r="D685" s="42">
        <v>47.5</v>
      </c>
      <c r="E685" s="42">
        <v>17.3</v>
      </c>
      <c r="F685" s="42">
        <v>30.2</v>
      </c>
      <c r="G685" s="57">
        <f t="shared" si="25"/>
        <v>0.36421052631578948</v>
      </c>
      <c r="H685" s="58" t="s">
        <v>1307</v>
      </c>
      <c r="I685" s="43" t="s">
        <v>340</v>
      </c>
      <c r="J685" s="44">
        <v>16300</v>
      </c>
      <c r="K685" s="63">
        <v>17507</v>
      </c>
      <c r="L685" s="41"/>
      <c r="M685" s="45"/>
    </row>
    <row r="686" spans="1:13" ht="126" x14ac:dyDescent="0.25">
      <c r="A686" s="152"/>
      <c r="B686" s="155"/>
      <c r="C686" s="41" t="s">
        <v>213</v>
      </c>
      <c r="D686" s="42">
        <v>168.6</v>
      </c>
      <c r="E686" s="42">
        <v>167.5</v>
      </c>
      <c r="F686" s="42">
        <v>1.1000000000000001</v>
      </c>
      <c r="G686" s="57">
        <f t="shared" si="25"/>
        <v>0.99347568208778181</v>
      </c>
      <c r="H686" s="58" t="s">
        <v>1308</v>
      </c>
      <c r="I686" s="43" t="s">
        <v>340</v>
      </c>
      <c r="J686" s="44">
        <v>7</v>
      </c>
      <c r="K686" s="72">
        <v>6</v>
      </c>
      <c r="L686" s="41" t="s">
        <v>1309</v>
      </c>
      <c r="M686" s="45" t="s">
        <v>1887</v>
      </c>
    </row>
    <row r="687" spans="1:13" ht="31.5" x14ac:dyDescent="0.25">
      <c r="A687" s="152"/>
      <c r="B687" s="155"/>
      <c r="C687" s="41" t="s">
        <v>186</v>
      </c>
      <c r="D687" s="42">
        <v>42.5</v>
      </c>
      <c r="E687" s="42">
        <v>37.6</v>
      </c>
      <c r="F687" s="42">
        <v>4.9000000000000004</v>
      </c>
      <c r="G687" s="57">
        <f t="shared" si="25"/>
        <v>0.88470588235294123</v>
      </c>
      <c r="H687" s="58" t="s">
        <v>1310</v>
      </c>
      <c r="I687" s="43" t="s">
        <v>340</v>
      </c>
      <c r="J687" s="44">
        <v>450</v>
      </c>
      <c r="K687" s="72">
        <v>419</v>
      </c>
      <c r="L687" s="41"/>
      <c r="M687" s="45"/>
    </row>
    <row r="688" spans="1:13" ht="173.25" x14ac:dyDescent="0.25">
      <c r="A688" s="152"/>
      <c r="B688" s="155"/>
      <c r="C688" s="41" t="s">
        <v>183</v>
      </c>
      <c r="D688" s="42">
        <v>821</v>
      </c>
      <c r="E688" s="42">
        <v>795.4</v>
      </c>
      <c r="F688" s="42">
        <v>25.6</v>
      </c>
      <c r="G688" s="57">
        <f t="shared" si="25"/>
        <v>0.96881851400730812</v>
      </c>
      <c r="H688" s="58" t="s">
        <v>1311</v>
      </c>
      <c r="I688" s="43" t="s">
        <v>340</v>
      </c>
      <c r="J688" s="44">
        <v>14</v>
      </c>
      <c r="K688" s="72">
        <v>9</v>
      </c>
      <c r="L688" s="41" t="s">
        <v>1312</v>
      </c>
      <c r="M688" s="45"/>
    </row>
    <row r="689" spans="1:13" ht="31.5" x14ac:dyDescent="0.25">
      <c r="A689" s="152"/>
      <c r="B689" s="155"/>
      <c r="C689" s="41" t="s">
        <v>792</v>
      </c>
      <c r="D689" s="42">
        <v>756.5</v>
      </c>
      <c r="E689" s="42">
        <v>739</v>
      </c>
      <c r="F689" s="42">
        <v>17.5</v>
      </c>
      <c r="G689" s="57">
        <f t="shared" si="25"/>
        <v>0.97686715135492397</v>
      </c>
      <c r="H689" s="58" t="s">
        <v>1313</v>
      </c>
      <c r="I689" s="43" t="s">
        <v>340</v>
      </c>
      <c r="J689" s="44">
        <v>420</v>
      </c>
      <c r="K689" s="72">
        <v>349</v>
      </c>
      <c r="L689" s="41"/>
      <c r="M689" s="45"/>
    </row>
    <row r="690" spans="1:13" ht="78.75" x14ac:dyDescent="0.25">
      <c r="A690" s="152"/>
      <c r="B690" s="155"/>
      <c r="C690" s="41" t="s">
        <v>37</v>
      </c>
      <c r="D690" s="42">
        <v>154.69999999999999</v>
      </c>
      <c r="E690" s="42">
        <v>125.1</v>
      </c>
      <c r="F690" s="42">
        <v>29.5</v>
      </c>
      <c r="G690" s="57">
        <f t="shared" si="25"/>
        <v>0.80866192630898515</v>
      </c>
      <c r="H690" s="58" t="s">
        <v>1314</v>
      </c>
      <c r="I690" s="43" t="s">
        <v>340</v>
      </c>
      <c r="J690" s="44">
        <v>5</v>
      </c>
      <c r="K690" s="72">
        <v>4</v>
      </c>
      <c r="L690" s="41" t="s">
        <v>1315</v>
      </c>
      <c r="M690" s="45"/>
    </row>
    <row r="691" spans="1:13" ht="47.25" x14ac:dyDescent="0.25">
      <c r="A691" s="152"/>
      <c r="B691" s="155"/>
      <c r="C691" s="41" t="s">
        <v>23</v>
      </c>
      <c r="D691" s="42">
        <v>4201.5</v>
      </c>
      <c r="E691" s="42">
        <v>4185.3999999999996</v>
      </c>
      <c r="F691" s="42">
        <v>16.100000000000001</v>
      </c>
      <c r="G691" s="57">
        <f t="shared" si="25"/>
        <v>0.99616803522551456</v>
      </c>
      <c r="H691" s="58" t="s">
        <v>1316</v>
      </c>
      <c r="I691" s="43" t="s">
        <v>340</v>
      </c>
      <c r="J691" s="44">
        <v>47</v>
      </c>
      <c r="K691" s="63">
        <v>50</v>
      </c>
      <c r="L691" s="41"/>
      <c r="M691" s="45"/>
    </row>
    <row r="692" spans="1:13" ht="126.75" thickBot="1" x14ac:dyDescent="0.3">
      <c r="A692" s="153"/>
      <c r="B692" s="156"/>
      <c r="C692" s="41" t="s">
        <v>78</v>
      </c>
      <c r="D692" s="42">
        <v>450.8</v>
      </c>
      <c r="E692" s="42">
        <v>450.8</v>
      </c>
      <c r="F692" s="42"/>
      <c r="G692" s="61">
        <f t="shared" si="25"/>
        <v>1</v>
      </c>
      <c r="H692" s="41" t="s">
        <v>1317</v>
      </c>
      <c r="I692" s="43" t="s">
        <v>27</v>
      </c>
      <c r="J692" s="44">
        <v>100</v>
      </c>
      <c r="K692" s="47">
        <v>100</v>
      </c>
      <c r="L692" s="41" t="s">
        <v>1318</v>
      </c>
      <c r="M692" s="45" t="s">
        <v>1888</v>
      </c>
    </row>
    <row r="693" spans="1:13" ht="60" customHeight="1" x14ac:dyDescent="0.25">
      <c r="A693" s="151" t="s">
        <v>1319</v>
      </c>
      <c r="B693" s="154" t="s">
        <v>1320</v>
      </c>
      <c r="C693" s="33" t="s">
        <v>23</v>
      </c>
      <c r="D693" s="34">
        <f>SUM(D694:D696)+846.6</f>
        <v>846.6</v>
      </c>
      <c r="E693" s="34">
        <f>SUM(E694:E696)+843.2</f>
        <v>843.2</v>
      </c>
      <c r="F693" s="34">
        <f>SUM(F694:F696)+3.4</f>
        <v>3.4</v>
      </c>
      <c r="G693" s="35">
        <f t="shared" si="25"/>
        <v>0.99598393574297195</v>
      </c>
      <c r="H693" s="33" t="s">
        <v>1321</v>
      </c>
      <c r="I693" s="36" t="s">
        <v>340</v>
      </c>
      <c r="J693" s="37">
        <v>213</v>
      </c>
      <c r="K693" s="60">
        <v>229</v>
      </c>
      <c r="L693" s="33" t="s">
        <v>1322</v>
      </c>
      <c r="M693" s="39"/>
    </row>
    <row r="694" spans="1:13" ht="47.25" x14ac:dyDescent="0.25">
      <c r="A694" s="152"/>
      <c r="B694" s="155"/>
      <c r="C694" s="41"/>
      <c r="D694" s="42"/>
      <c r="E694" s="42"/>
      <c r="F694" s="42"/>
      <c r="G694" s="42"/>
      <c r="H694" s="41" t="s">
        <v>1323</v>
      </c>
      <c r="I694" s="43" t="s">
        <v>340</v>
      </c>
      <c r="J694" s="44">
        <v>16</v>
      </c>
      <c r="K694" s="63">
        <v>17</v>
      </c>
      <c r="L694" s="41" t="s">
        <v>1324</v>
      </c>
      <c r="M694" s="45"/>
    </row>
    <row r="695" spans="1:13" ht="47.25" x14ac:dyDescent="0.25">
      <c r="A695" s="152"/>
      <c r="B695" s="155"/>
      <c r="C695" s="41"/>
      <c r="D695" s="42"/>
      <c r="E695" s="42"/>
      <c r="F695" s="42"/>
      <c r="G695" s="42"/>
      <c r="H695" s="41" t="s">
        <v>1325</v>
      </c>
      <c r="I695" s="43" t="s">
        <v>340</v>
      </c>
      <c r="J695" s="44">
        <v>8</v>
      </c>
      <c r="K695" s="47">
        <v>8</v>
      </c>
      <c r="L695" s="41" t="s">
        <v>1326</v>
      </c>
      <c r="M695" s="45"/>
    </row>
    <row r="696" spans="1:13" ht="48" thickBot="1" x14ac:dyDescent="0.3">
      <c r="A696" s="153"/>
      <c r="B696" s="156"/>
      <c r="C696" s="41"/>
      <c r="D696" s="42"/>
      <c r="E696" s="42"/>
      <c r="F696" s="42"/>
      <c r="G696" s="42"/>
      <c r="H696" s="41" t="s">
        <v>1327</v>
      </c>
      <c r="I696" s="43" t="s">
        <v>340</v>
      </c>
      <c r="J696" s="44">
        <v>1</v>
      </c>
      <c r="K696" s="47">
        <v>1</v>
      </c>
      <c r="L696" s="41" t="s">
        <v>1328</v>
      </c>
      <c r="M696" s="45"/>
    </row>
    <row r="697" spans="1:13" ht="60" customHeight="1" x14ac:dyDescent="0.25">
      <c r="A697" s="151" t="s">
        <v>1329</v>
      </c>
      <c r="B697" s="154" t="s">
        <v>1330</v>
      </c>
      <c r="C697" s="33"/>
      <c r="D697" s="34">
        <f>SUM(D698:D700)</f>
        <v>239.6</v>
      </c>
      <c r="E697" s="34">
        <f>SUM(E698:E700)</f>
        <v>239.6</v>
      </c>
      <c r="F697" s="34"/>
      <c r="G697" s="53">
        <f t="shared" ref="G697:G704" si="26">SUM(E697/D697)</f>
        <v>1</v>
      </c>
      <c r="H697" s="33" t="s">
        <v>1331</v>
      </c>
      <c r="I697" s="36" t="s">
        <v>340</v>
      </c>
      <c r="J697" s="37">
        <v>14</v>
      </c>
      <c r="K697" s="62">
        <v>13</v>
      </c>
      <c r="L697" s="33" t="s">
        <v>1332</v>
      </c>
      <c r="M697" s="39"/>
    </row>
    <row r="698" spans="1:13" ht="47.25" x14ac:dyDescent="0.25">
      <c r="A698" s="152"/>
      <c r="B698" s="155"/>
      <c r="C698" s="41" t="s">
        <v>78</v>
      </c>
      <c r="D698" s="42">
        <v>189.2</v>
      </c>
      <c r="E698" s="42">
        <v>189.2</v>
      </c>
      <c r="F698" s="42"/>
      <c r="G698" s="57">
        <f t="shared" si="26"/>
        <v>1</v>
      </c>
      <c r="H698" s="58" t="s">
        <v>1333</v>
      </c>
      <c r="I698" s="43" t="s">
        <v>340</v>
      </c>
      <c r="J698" s="44">
        <v>940</v>
      </c>
      <c r="K698" s="72">
        <v>723</v>
      </c>
      <c r="L698" s="41" t="s">
        <v>1334</v>
      </c>
      <c r="M698" s="45"/>
    </row>
    <row r="699" spans="1:13" ht="15" customHeight="1" thickBot="1" x14ac:dyDescent="0.3">
      <c r="A699" s="152"/>
      <c r="B699" s="155"/>
      <c r="C699" s="41" t="s">
        <v>23</v>
      </c>
      <c r="D699" s="42">
        <v>50.4</v>
      </c>
      <c r="E699" s="42">
        <v>50.4</v>
      </c>
      <c r="F699" s="42"/>
      <c r="G699" s="61">
        <f t="shared" si="26"/>
        <v>1</v>
      </c>
      <c r="H699" s="41"/>
      <c r="I699" s="43"/>
      <c r="J699" s="44"/>
      <c r="K699" s="44"/>
      <c r="L699" s="41"/>
      <c r="M699" s="45"/>
    </row>
    <row r="700" spans="1:13" ht="16.5" hidden="1" thickBot="1" x14ac:dyDescent="0.3">
      <c r="A700" s="153"/>
      <c r="B700" s="156"/>
      <c r="C700" s="41" t="s">
        <v>186</v>
      </c>
      <c r="D700" s="42"/>
      <c r="E700" s="42"/>
      <c r="F700" s="42"/>
      <c r="G700" s="35" t="e">
        <f t="shared" si="26"/>
        <v>#DIV/0!</v>
      </c>
      <c r="H700" s="41"/>
      <c r="I700" s="43"/>
      <c r="J700" s="44"/>
      <c r="K700" s="44"/>
      <c r="L700" s="41"/>
      <c r="M700" s="45"/>
    </row>
    <row r="701" spans="1:13" ht="63" x14ac:dyDescent="0.25">
      <c r="A701" s="151" t="s">
        <v>1335</v>
      </c>
      <c r="B701" s="154" t="s">
        <v>1336</v>
      </c>
      <c r="C701" s="33"/>
      <c r="D701" s="34">
        <f>SUM(D702:D703)</f>
        <v>270.8</v>
      </c>
      <c r="E701" s="34">
        <f>SUM(E702:E703)</f>
        <v>265.2</v>
      </c>
      <c r="F701" s="34">
        <f>SUM(F702:F703)</f>
        <v>5.6</v>
      </c>
      <c r="G701" s="53">
        <f t="shared" si="26"/>
        <v>0.97932053175775469</v>
      </c>
      <c r="H701" s="33" t="s">
        <v>1337</v>
      </c>
      <c r="I701" s="36" t="s">
        <v>340</v>
      </c>
      <c r="J701" s="37">
        <v>240</v>
      </c>
      <c r="K701" s="60">
        <v>318</v>
      </c>
      <c r="L701" s="33" t="s">
        <v>1338</v>
      </c>
      <c r="M701" s="39" t="s">
        <v>1889</v>
      </c>
    </row>
    <row r="702" spans="1:13" ht="94.5" x14ac:dyDescent="0.25">
      <c r="A702" s="152"/>
      <c r="B702" s="155"/>
      <c r="C702" s="41" t="s">
        <v>23</v>
      </c>
      <c r="D702" s="42">
        <v>84.3</v>
      </c>
      <c r="E702" s="42">
        <v>78.7</v>
      </c>
      <c r="F702" s="42">
        <v>5.6</v>
      </c>
      <c r="G702" s="57">
        <f t="shared" si="26"/>
        <v>0.9335705812574141</v>
      </c>
      <c r="H702" s="58" t="s">
        <v>1339</v>
      </c>
      <c r="I702" s="43" t="s">
        <v>27</v>
      </c>
      <c r="J702" s="44">
        <v>25</v>
      </c>
      <c r="K702" s="47">
        <v>24.5</v>
      </c>
      <c r="L702" s="41"/>
      <c r="M702" s="45"/>
    </row>
    <row r="703" spans="1:13" ht="79.5" thickBot="1" x14ac:dyDescent="0.3">
      <c r="A703" s="153"/>
      <c r="B703" s="156"/>
      <c r="C703" s="41" t="s">
        <v>78</v>
      </c>
      <c r="D703" s="42">
        <v>186.5</v>
      </c>
      <c r="E703" s="42">
        <v>186.5</v>
      </c>
      <c r="F703" s="42"/>
      <c r="G703" s="61">
        <f t="shared" si="26"/>
        <v>1</v>
      </c>
      <c r="H703" s="41" t="s">
        <v>1340</v>
      </c>
      <c r="I703" s="43" t="s">
        <v>27</v>
      </c>
      <c r="J703" s="44">
        <v>55</v>
      </c>
      <c r="K703" s="72">
        <v>49.1</v>
      </c>
      <c r="L703" s="41"/>
      <c r="M703" s="45"/>
    </row>
    <row r="704" spans="1:13" ht="31.5" x14ac:dyDescent="0.25">
      <c r="A704" s="151" t="s">
        <v>1341</v>
      </c>
      <c r="B704" s="154" t="s">
        <v>1342</v>
      </c>
      <c r="C704" s="33" t="s">
        <v>23</v>
      </c>
      <c r="D704" s="34">
        <f>SUM(D705:D705)+200</f>
        <v>200</v>
      </c>
      <c r="E704" s="34">
        <f>SUM(E705:E705)+171.2</f>
        <v>171.2</v>
      </c>
      <c r="F704" s="34">
        <f>SUM(F705:F705)+28.8</f>
        <v>28.8</v>
      </c>
      <c r="G704" s="35">
        <f t="shared" si="26"/>
        <v>0.85599999999999998</v>
      </c>
      <c r="H704" s="33" t="s">
        <v>1343</v>
      </c>
      <c r="I704" s="36" t="s">
        <v>340</v>
      </c>
      <c r="J704" s="37">
        <v>800</v>
      </c>
      <c r="K704" s="38">
        <v>800</v>
      </c>
      <c r="L704" s="33"/>
      <c r="M704" s="39" t="s">
        <v>1890</v>
      </c>
    </row>
    <row r="705" spans="1:13" ht="63.75" thickBot="1" x14ac:dyDescent="0.3">
      <c r="A705" s="153"/>
      <c r="B705" s="156"/>
      <c r="C705" s="41"/>
      <c r="D705" s="42"/>
      <c r="E705" s="42"/>
      <c r="F705" s="42"/>
      <c r="G705" s="42"/>
      <c r="H705" s="41" t="s">
        <v>1344</v>
      </c>
      <c r="I705" s="43" t="s">
        <v>27</v>
      </c>
      <c r="J705" s="44">
        <v>100</v>
      </c>
      <c r="K705" s="47">
        <v>100</v>
      </c>
      <c r="L705" s="41"/>
      <c r="M705" s="45"/>
    </row>
    <row r="706" spans="1:13" ht="94.5" x14ac:dyDescent="0.25">
      <c r="A706" s="151" t="s">
        <v>1345</v>
      </c>
      <c r="B706" s="154" t="s">
        <v>1346</v>
      </c>
      <c r="C706" s="33"/>
      <c r="D706" s="34">
        <f>SUM(D707:D709)</f>
        <v>387.1</v>
      </c>
      <c r="E706" s="34">
        <f>SUM(E707:E709)-0.1</f>
        <v>199.79999999999998</v>
      </c>
      <c r="F706" s="34">
        <f>SUM(F707:F709)</f>
        <v>187.2</v>
      </c>
      <c r="G706" s="53">
        <f t="shared" ref="G706:G716" si="27">SUM(E706/D706)</f>
        <v>0.51614569878584338</v>
      </c>
      <c r="H706" s="33" t="s">
        <v>1347</v>
      </c>
      <c r="I706" s="36" t="s">
        <v>27</v>
      </c>
      <c r="J706" s="37">
        <v>95</v>
      </c>
      <c r="K706" s="60">
        <v>100</v>
      </c>
      <c r="L706" s="33" t="s">
        <v>1348</v>
      </c>
      <c r="M706" s="39" t="s">
        <v>1891</v>
      </c>
    </row>
    <row r="707" spans="1:13" ht="47.25" x14ac:dyDescent="0.25">
      <c r="A707" s="152"/>
      <c r="B707" s="155"/>
      <c r="C707" s="41" t="s">
        <v>37</v>
      </c>
      <c r="D707" s="42">
        <v>14.2</v>
      </c>
      <c r="E707" s="42">
        <v>14.2</v>
      </c>
      <c r="F707" s="42"/>
      <c r="G707" s="57">
        <f t="shared" si="27"/>
        <v>1</v>
      </c>
      <c r="H707" s="58" t="s">
        <v>1333</v>
      </c>
      <c r="I707" s="43" t="s">
        <v>340</v>
      </c>
      <c r="J707" s="44">
        <v>230</v>
      </c>
      <c r="K707" s="72">
        <v>192</v>
      </c>
      <c r="L707" s="41" t="s">
        <v>1349</v>
      </c>
      <c r="M707" s="45" t="s">
        <v>1892</v>
      </c>
    </row>
    <row r="708" spans="1:13" x14ac:dyDescent="0.25">
      <c r="A708" s="152"/>
      <c r="B708" s="155"/>
      <c r="C708" s="41" t="s">
        <v>23</v>
      </c>
      <c r="D708" s="42">
        <v>172</v>
      </c>
      <c r="E708" s="42"/>
      <c r="F708" s="42">
        <v>172</v>
      </c>
      <c r="G708" s="57">
        <f t="shared" si="27"/>
        <v>0</v>
      </c>
      <c r="H708" s="58"/>
      <c r="I708" s="43"/>
      <c r="J708" s="44"/>
      <c r="K708" s="44"/>
      <c r="L708" s="41"/>
      <c r="M708" s="45"/>
    </row>
    <row r="709" spans="1:13" ht="16.5" thickBot="1" x14ac:dyDescent="0.3">
      <c r="A709" s="153"/>
      <c r="B709" s="156"/>
      <c r="C709" s="41" t="s">
        <v>78</v>
      </c>
      <c r="D709" s="42">
        <v>200.9</v>
      </c>
      <c r="E709" s="42">
        <v>185.7</v>
      </c>
      <c r="F709" s="42">
        <v>15.2</v>
      </c>
      <c r="G709" s="61">
        <f t="shared" si="27"/>
        <v>0.92434046789447477</v>
      </c>
      <c r="H709" s="41"/>
      <c r="I709" s="43"/>
      <c r="J709" s="44"/>
      <c r="K709" s="44"/>
      <c r="L709" s="41"/>
      <c r="M709" s="45"/>
    </row>
    <row r="710" spans="1:13" ht="78.75" x14ac:dyDescent="0.25">
      <c r="A710" s="151" t="s">
        <v>1350</v>
      </c>
      <c r="B710" s="154" t="s">
        <v>1351</v>
      </c>
      <c r="C710" s="33"/>
      <c r="D710" s="34">
        <f>SUM(D711:D713)</f>
        <v>283.60000000000002</v>
      </c>
      <c r="E710" s="34">
        <f>SUM(E711:E713)</f>
        <v>246.3</v>
      </c>
      <c r="F710" s="34">
        <f>SUM(F711:F713)</f>
        <v>37.299999999999997</v>
      </c>
      <c r="G710" s="53">
        <f t="shared" si="27"/>
        <v>0.86847672778561347</v>
      </c>
      <c r="H710" s="33" t="s">
        <v>1333</v>
      </c>
      <c r="I710" s="36" t="s">
        <v>340</v>
      </c>
      <c r="J710" s="37">
        <v>385</v>
      </c>
      <c r="K710" s="60">
        <v>1144</v>
      </c>
      <c r="L710" s="33" t="s">
        <v>1352</v>
      </c>
      <c r="M710" s="39" t="s">
        <v>1893</v>
      </c>
    </row>
    <row r="711" spans="1:13" x14ac:dyDescent="0.25">
      <c r="A711" s="152"/>
      <c r="B711" s="155"/>
      <c r="C711" s="41" t="s">
        <v>37</v>
      </c>
      <c r="D711" s="42">
        <v>3.1</v>
      </c>
      <c r="E711" s="42">
        <v>2.8</v>
      </c>
      <c r="F711" s="42">
        <v>0.3</v>
      </c>
      <c r="G711" s="57">
        <f t="shared" si="27"/>
        <v>0.90322580645161277</v>
      </c>
      <c r="H711" s="58"/>
      <c r="I711" s="43"/>
      <c r="J711" s="44"/>
      <c r="K711" s="44"/>
      <c r="L711" s="41"/>
      <c r="M711" s="45"/>
    </row>
    <row r="712" spans="1:13" x14ac:dyDescent="0.25">
      <c r="A712" s="152"/>
      <c r="B712" s="155"/>
      <c r="C712" s="41" t="s">
        <v>208</v>
      </c>
      <c r="D712" s="42">
        <v>274</v>
      </c>
      <c r="E712" s="42">
        <v>239.3</v>
      </c>
      <c r="F712" s="42">
        <v>34.700000000000003</v>
      </c>
      <c r="G712" s="57">
        <f t="shared" si="27"/>
        <v>0.87335766423357664</v>
      </c>
      <c r="H712" s="58"/>
      <c r="I712" s="43"/>
      <c r="J712" s="44"/>
      <c r="K712" s="44"/>
      <c r="L712" s="41"/>
      <c r="M712" s="45"/>
    </row>
    <row r="713" spans="1:13" ht="16.5" thickBot="1" x14ac:dyDescent="0.3">
      <c r="A713" s="153"/>
      <c r="B713" s="156"/>
      <c r="C713" s="41" t="s">
        <v>23</v>
      </c>
      <c r="D713" s="42">
        <v>6.5</v>
      </c>
      <c r="E713" s="42">
        <v>4.2</v>
      </c>
      <c r="F713" s="42">
        <v>2.2999999999999998</v>
      </c>
      <c r="G713" s="61">
        <f t="shared" si="27"/>
        <v>0.64615384615384619</v>
      </c>
      <c r="H713" s="41"/>
      <c r="I713" s="43"/>
      <c r="J713" s="44"/>
      <c r="K713" s="44"/>
      <c r="L713" s="41"/>
      <c r="M713" s="45"/>
    </row>
    <row r="714" spans="1:13" ht="63" x14ac:dyDescent="0.25">
      <c r="A714" s="151" t="s">
        <v>1353</v>
      </c>
      <c r="B714" s="154" t="s">
        <v>1354</v>
      </c>
      <c r="C714" s="33"/>
      <c r="D714" s="34">
        <f>SUM(D715:D717)</f>
        <v>257.2</v>
      </c>
      <c r="E714" s="34">
        <f>SUM(E715:E717)</f>
        <v>26.5</v>
      </c>
      <c r="F714" s="34">
        <f>SUM(F715:F717)</f>
        <v>230.7</v>
      </c>
      <c r="G714" s="53">
        <f t="shared" si="27"/>
        <v>0.10303265940902022</v>
      </c>
      <c r="H714" s="33" t="s">
        <v>1355</v>
      </c>
      <c r="I714" s="36" t="s">
        <v>18</v>
      </c>
      <c r="J714" s="37">
        <v>1</v>
      </c>
      <c r="K714" s="54">
        <v>0</v>
      </c>
      <c r="L714" s="33" t="s">
        <v>1356</v>
      </c>
      <c r="M714" s="39" t="s">
        <v>1894</v>
      </c>
    </row>
    <row r="715" spans="1:13" ht="126" x14ac:dyDescent="0.25">
      <c r="A715" s="152"/>
      <c r="B715" s="155"/>
      <c r="C715" s="41" t="s">
        <v>23</v>
      </c>
      <c r="D715" s="42">
        <v>204.1</v>
      </c>
      <c r="E715" s="42">
        <v>18.600000000000001</v>
      </c>
      <c r="F715" s="42">
        <v>185.5</v>
      </c>
      <c r="G715" s="57">
        <f t="shared" si="27"/>
        <v>9.1131798138167575E-2</v>
      </c>
      <c r="H715" s="58" t="s">
        <v>1357</v>
      </c>
      <c r="I715" s="43" t="s">
        <v>18</v>
      </c>
      <c r="J715" s="44">
        <v>1</v>
      </c>
      <c r="K715" s="49">
        <v>0</v>
      </c>
      <c r="L715" s="41" t="s">
        <v>1358</v>
      </c>
      <c r="M715" s="45" t="s">
        <v>1895</v>
      </c>
    </row>
    <row r="716" spans="1:13" ht="31.5" x14ac:dyDescent="0.25">
      <c r="A716" s="152"/>
      <c r="B716" s="155"/>
      <c r="C716" s="41" t="s">
        <v>37</v>
      </c>
      <c r="D716" s="42">
        <v>53.1</v>
      </c>
      <c r="E716" s="42">
        <v>7.9</v>
      </c>
      <c r="F716" s="42">
        <v>45.2</v>
      </c>
      <c r="G716" s="61">
        <f t="shared" si="27"/>
        <v>0.1487758945386064</v>
      </c>
      <c r="H716" s="41" t="s">
        <v>1359</v>
      </c>
      <c r="I716" s="43" t="s">
        <v>18</v>
      </c>
      <c r="J716" s="44">
        <v>70</v>
      </c>
      <c r="K716" s="63">
        <v>198</v>
      </c>
      <c r="L716" s="41" t="s">
        <v>1360</v>
      </c>
      <c r="M716" s="45"/>
    </row>
    <row r="717" spans="1:13" ht="48" thickBot="1" x14ac:dyDescent="0.3">
      <c r="A717" s="153"/>
      <c r="B717" s="156"/>
      <c r="C717" s="41"/>
      <c r="D717" s="42"/>
      <c r="E717" s="42"/>
      <c r="F717" s="42"/>
      <c r="G717" s="42"/>
      <c r="H717" s="41" t="s">
        <v>1361</v>
      </c>
      <c r="I717" s="43" t="s">
        <v>18</v>
      </c>
      <c r="J717" s="44">
        <v>1</v>
      </c>
      <c r="K717" s="47">
        <v>1</v>
      </c>
      <c r="L717" s="41" t="s">
        <v>1362</v>
      </c>
      <c r="M717" s="45"/>
    </row>
    <row r="718" spans="1:13" ht="31.5" x14ac:dyDescent="0.25">
      <c r="A718" s="151" t="s">
        <v>1363</v>
      </c>
      <c r="B718" s="154" t="s">
        <v>1364</v>
      </c>
      <c r="C718" s="33" t="s">
        <v>23</v>
      </c>
      <c r="D718" s="34">
        <f>SUM(D719:D721)+297.5</f>
        <v>297.5</v>
      </c>
      <c r="E718" s="34">
        <f>SUM(E719:E721)+232.4</f>
        <v>232.4</v>
      </c>
      <c r="F718" s="34">
        <f>SUM(F719:F721)+65.1</f>
        <v>65.099999999999994</v>
      </c>
      <c r="G718" s="35">
        <f>SUM(E718/D718)</f>
        <v>0.78117647058823536</v>
      </c>
      <c r="H718" s="33" t="s">
        <v>1365</v>
      </c>
      <c r="I718" s="36" t="s">
        <v>340</v>
      </c>
      <c r="J718" s="37">
        <v>8</v>
      </c>
      <c r="K718" s="60">
        <v>9</v>
      </c>
      <c r="L718" s="33"/>
      <c r="M718" s="39" t="s">
        <v>1896</v>
      </c>
    </row>
    <row r="719" spans="1:13" ht="47.25" x14ac:dyDescent="0.25">
      <c r="A719" s="152"/>
      <c r="B719" s="155"/>
      <c r="C719" s="41"/>
      <c r="D719" s="42"/>
      <c r="E719" s="42"/>
      <c r="F719" s="42"/>
      <c r="G719" s="42"/>
      <c r="H719" s="41" t="s">
        <v>1366</v>
      </c>
      <c r="I719" s="43" t="s">
        <v>340</v>
      </c>
      <c r="J719" s="44">
        <v>40</v>
      </c>
      <c r="K719" s="82">
        <v>17</v>
      </c>
      <c r="L719" s="41"/>
      <c r="M719" s="45"/>
    </row>
    <row r="720" spans="1:13" ht="31.5" x14ac:dyDescent="0.25">
      <c r="A720" s="152"/>
      <c r="B720" s="155"/>
      <c r="C720" s="41"/>
      <c r="D720" s="42"/>
      <c r="E720" s="42"/>
      <c r="F720" s="42"/>
      <c r="G720" s="42"/>
      <c r="H720" s="41" t="s">
        <v>1367</v>
      </c>
      <c r="I720" s="43" t="s">
        <v>340</v>
      </c>
      <c r="J720" s="44">
        <v>30</v>
      </c>
      <c r="K720" s="72">
        <v>29</v>
      </c>
      <c r="L720" s="41"/>
      <c r="M720" s="45"/>
    </row>
    <row r="721" spans="1:13" ht="32.25" thickBot="1" x14ac:dyDescent="0.3">
      <c r="A721" s="153"/>
      <c r="B721" s="156"/>
      <c r="C721" s="41"/>
      <c r="D721" s="42"/>
      <c r="E721" s="42"/>
      <c r="F721" s="42"/>
      <c r="G721" s="42"/>
      <c r="H721" s="41" t="s">
        <v>1368</v>
      </c>
      <c r="I721" s="43" t="s">
        <v>340</v>
      </c>
      <c r="J721" s="44">
        <v>200</v>
      </c>
      <c r="K721" s="63">
        <v>240</v>
      </c>
      <c r="L721" s="41"/>
      <c r="M721" s="45"/>
    </row>
    <row r="722" spans="1:13" ht="111" thickBot="1" x14ac:dyDescent="0.3">
      <c r="A722" s="25" t="s">
        <v>1369</v>
      </c>
      <c r="B722" s="26" t="s">
        <v>1370</v>
      </c>
      <c r="C722" s="27"/>
      <c r="D722" s="28">
        <f>D723+D724+D726+D731+D738</f>
        <v>2588.6</v>
      </c>
      <c r="E722" s="28">
        <f>E723+E724+E726+E731+E738</f>
        <v>732.7</v>
      </c>
      <c r="F722" s="28">
        <f>F723+F724+F726+F731+F738</f>
        <v>1856</v>
      </c>
      <c r="G722" s="29">
        <f t="shared" ref="G722:G731" si="28">SUM(E722/D722)</f>
        <v>0.28304875222127795</v>
      </c>
      <c r="H722" s="129"/>
      <c r="I722" s="130"/>
      <c r="J722" s="130"/>
      <c r="K722" s="130"/>
      <c r="L722" s="130"/>
      <c r="M722" s="131"/>
    </row>
    <row r="723" spans="1:13" ht="79.5" thickBot="1" x14ac:dyDescent="0.3">
      <c r="A723" s="64" t="s">
        <v>1371</v>
      </c>
      <c r="B723" s="65" t="s">
        <v>1372</v>
      </c>
      <c r="C723" s="33" t="s">
        <v>37</v>
      </c>
      <c r="D723" s="66">
        <v>180.5</v>
      </c>
      <c r="E723" s="66">
        <v>156.1</v>
      </c>
      <c r="F723" s="66">
        <v>24.4</v>
      </c>
      <c r="G723" s="35">
        <f t="shared" si="28"/>
        <v>0.86481994459833789</v>
      </c>
      <c r="H723" s="33" t="s">
        <v>1373</v>
      </c>
      <c r="I723" s="36" t="s">
        <v>27</v>
      </c>
      <c r="J723" s="37">
        <v>100</v>
      </c>
      <c r="K723" s="62">
        <v>95</v>
      </c>
      <c r="L723" s="33"/>
      <c r="M723" s="39" t="s">
        <v>1897</v>
      </c>
    </row>
    <row r="724" spans="1:13" ht="75" customHeight="1" x14ac:dyDescent="0.25">
      <c r="A724" s="151" t="s">
        <v>1374</v>
      </c>
      <c r="B724" s="154" t="s">
        <v>1375</v>
      </c>
      <c r="C724" s="33"/>
      <c r="D724" s="34">
        <f>SUM(D725:D725)</f>
        <v>29.4</v>
      </c>
      <c r="E724" s="34">
        <f>SUM(E725:E725)</f>
        <v>10.3</v>
      </c>
      <c r="F724" s="34">
        <f>SUM(F725:F725)</f>
        <v>19.100000000000001</v>
      </c>
      <c r="G724" s="35">
        <f t="shared" si="28"/>
        <v>0.35034013605442182</v>
      </c>
      <c r="H724" s="33" t="s">
        <v>1173</v>
      </c>
      <c r="I724" s="36" t="s">
        <v>18</v>
      </c>
      <c r="J724" s="37">
        <v>1</v>
      </c>
      <c r="K724" s="38">
        <v>1</v>
      </c>
      <c r="L724" s="33" t="s">
        <v>1376</v>
      </c>
      <c r="M724" s="39" t="s">
        <v>1898</v>
      </c>
    </row>
    <row r="725" spans="1:13" ht="63.75" thickBot="1" x14ac:dyDescent="0.3">
      <c r="A725" s="153"/>
      <c r="B725" s="156"/>
      <c r="C725" s="41" t="s">
        <v>23</v>
      </c>
      <c r="D725" s="42">
        <v>29.4</v>
      </c>
      <c r="E725" s="42">
        <v>10.3</v>
      </c>
      <c r="F725" s="42">
        <v>19.100000000000001</v>
      </c>
      <c r="G725" s="61">
        <f t="shared" si="28"/>
        <v>0.35034013605442182</v>
      </c>
      <c r="H725" s="41" t="s">
        <v>1149</v>
      </c>
      <c r="I725" s="43" t="s">
        <v>18</v>
      </c>
      <c r="J725" s="44"/>
      <c r="K725" s="44"/>
      <c r="L725" s="41"/>
      <c r="M725" s="45"/>
    </row>
    <row r="726" spans="1:13" ht="105" customHeight="1" x14ac:dyDescent="0.25">
      <c r="A726" s="151" t="s">
        <v>1377</v>
      </c>
      <c r="B726" s="154" t="s">
        <v>1378</v>
      </c>
      <c r="C726" s="33"/>
      <c r="D726" s="34">
        <f>SUM(D727:D730)</f>
        <v>1979.1000000000001</v>
      </c>
      <c r="E726" s="34">
        <f>SUM(E727:E730)</f>
        <v>288.10000000000002</v>
      </c>
      <c r="F726" s="34">
        <f>SUM(F727:F730)</f>
        <v>1691</v>
      </c>
      <c r="G726" s="53">
        <f t="shared" si="28"/>
        <v>0.14557121924106917</v>
      </c>
      <c r="H726" s="33" t="s">
        <v>1379</v>
      </c>
      <c r="I726" s="36" t="s">
        <v>18</v>
      </c>
      <c r="J726" s="37"/>
      <c r="K726" s="37"/>
      <c r="L726" s="33" t="s">
        <v>1380</v>
      </c>
      <c r="M726" s="39"/>
    </row>
    <row r="727" spans="1:13" ht="94.5" x14ac:dyDescent="0.25">
      <c r="A727" s="152"/>
      <c r="B727" s="155"/>
      <c r="C727" s="41" t="s">
        <v>37</v>
      </c>
      <c r="D727" s="42">
        <v>110.2</v>
      </c>
      <c r="E727" s="42">
        <v>108.1</v>
      </c>
      <c r="F727" s="42">
        <v>2.1</v>
      </c>
      <c r="G727" s="57">
        <f t="shared" si="28"/>
        <v>0.98094373865698725</v>
      </c>
      <c r="H727" s="58" t="s">
        <v>1381</v>
      </c>
      <c r="I727" s="43" t="s">
        <v>18</v>
      </c>
      <c r="J727" s="44">
        <v>1</v>
      </c>
      <c r="K727" s="49">
        <v>0</v>
      </c>
      <c r="L727" s="41" t="s">
        <v>1382</v>
      </c>
      <c r="M727" s="45"/>
    </row>
    <row r="728" spans="1:13" ht="110.25" x14ac:dyDescent="0.25">
      <c r="A728" s="152"/>
      <c r="B728" s="155"/>
      <c r="C728" s="41" t="s">
        <v>23</v>
      </c>
      <c r="D728" s="42">
        <v>4.2</v>
      </c>
      <c r="E728" s="42">
        <v>0</v>
      </c>
      <c r="F728" s="42">
        <v>4.2</v>
      </c>
      <c r="G728" s="57">
        <f t="shared" si="28"/>
        <v>0</v>
      </c>
      <c r="H728" s="58" t="s">
        <v>542</v>
      </c>
      <c r="I728" s="43" t="s">
        <v>27</v>
      </c>
      <c r="J728" s="44">
        <v>50</v>
      </c>
      <c r="K728" s="82">
        <v>6.9</v>
      </c>
      <c r="L728" s="41" t="s">
        <v>1383</v>
      </c>
      <c r="M728" s="45" t="s">
        <v>1899</v>
      </c>
    </row>
    <row r="729" spans="1:13" x14ac:dyDescent="0.25">
      <c r="A729" s="152"/>
      <c r="B729" s="155"/>
      <c r="C729" s="41" t="s">
        <v>208</v>
      </c>
      <c r="D729" s="42">
        <v>1510.4</v>
      </c>
      <c r="E729" s="42">
        <v>145.80000000000001</v>
      </c>
      <c r="F729" s="42">
        <v>1364.6</v>
      </c>
      <c r="G729" s="57">
        <f t="shared" si="28"/>
        <v>9.653072033898305E-2</v>
      </c>
      <c r="H729" s="58"/>
      <c r="I729" s="43"/>
      <c r="J729" s="44"/>
      <c r="K729" s="44"/>
      <c r="L729" s="41"/>
      <c r="M729" s="45"/>
    </row>
    <row r="730" spans="1:13" ht="16.5" thickBot="1" x14ac:dyDescent="0.3">
      <c r="A730" s="153"/>
      <c r="B730" s="156"/>
      <c r="C730" s="41" t="s">
        <v>78</v>
      </c>
      <c r="D730" s="42">
        <v>354.3</v>
      </c>
      <c r="E730" s="42">
        <v>34.200000000000003</v>
      </c>
      <c r="F730" s="42">
        <v>320.10000000000002</v>
      </c>
      <c r="G730" s="61">
        <f t="shared" si="28"/>
        <v>9.6528365791701959E-2</v>
      </c>
      <c r="H730" s="41"/>
      <c r="I730" s="43"/>
      <c r="J730" s="44"/>
      <c r="K730" s="44"/>
      <c r="L730" s="41"/>
      <c r="M730" s="45"/>
    </row>
    <row r="731" spans="1:13" ht="47.25" x14ac:dyDescent="0.25">
      <c r="A731" s="151" t="s">
        <v>1384</v>
      </c>
      <c r="B731" s="154" t="s">
        <v>1385</v>
      </c>
      <c r="C731" s="33"/>
      <c r="D731" s="34">
        <f>D732+D733+D737</f>
        <v>342.9</v>
      </c>
      <c r="E731" s="34">
        <f>E732+E733+E737</f>
        <v>233.5</v>
      </c>
      <c r="F731" s="34">
        <f>F732+F733+F737</f>
        <v>109.5</v>
      </c>
      <c r="G731" s="35">
        <f t="shared" si="28"/>
        <v>0.68095654709827946</v>
      </c>
      <c r="H731" s="33" t="s">
        <v>1355</v>
      </c>
      <c r="I731" s="36" t="s">
        <v>18</v>
      </c>
      <c r="J731" s="37">
        <v>1</v>
      </c>
      <c r="K731" s="38">
        <v>1</v>
      </c>
      <c r="L731" s="33" t="s">
        <v>1386</v>
      </c>
      <c r="M731" s="39"/>
    </row>
    <row r="732" spans="1:13" ht="142.5" thickBot="1" x14ac:dyDescent="0.3">
      <c r="A732" s="153"/>
      <c r="B732" s="156"/>
      <c r="C732" s="41"/>
      <c r="D732" s="42"/>
      <c r="E732" s="42"/>
      <c r="F732" s="42"/>
      <c r="G732" s="42"/>
      <c r="H732" s="41" t="s">
        <v>1387</v>
      </c>
      <c r="I732" s="43" t="s">
        <v>18</v>
      </c>
      <c r="J732" s="44">
        <v>2</v>
      </c>
      <c r="K732" s="49">
        <v>0</v>
      </c>
      <c r="L732" s="41" t="s">
        <v>1388</v>
      </c>
      <c r="M732" s="45" t="s">
        <v>1900</v>
      </c>
    </row>
    <row r="733" spans="1:13" ht="141.75" x14ac:dyDescent="0.25">
      <c r="A733" s="151" t="s">
        <v>1389</v>
      </c>
      <c r="B733" s="154" t="s">
        <v>1390</v>
      </c>
      <c r="C733" s="33"/>
      <c r="D733" s="34">
        <f>SUM(D734:D736)</f>
        <v>281</v>
      </c>
      <c r="E733" s="34">
        <f>SUM(E734:E736)</f>
        <v>233.5</v>
      </c>
      <c r="F733" s="34">
        <f>SUM(F734:F736)+0.1</f>
        <v>47.6</v>
      </c>
      <c r="G733" s="53">
        <f t="shared" ref="G733:G742" si="29">SUM(E733/D733)</f>
        <v>0.83096085409252674</v>
      </c>
      <c r="H733" s="33" t="s">
        <v>1387</v>
      </c>
      <c r="I733" s="36" t="s">
        <v>18</v>
      </c>
      <c r="J733" s="37">
        <v>2</v>
      </c>
      <c r="K733" s="54">
        <v>0</v>
      </c>
      <c r="L733" s="33" t="s">
        <v>1388</v>
      </c>
      <c r="M733" s="39" t="s">
        <v>1900</v>
      </c>
    </row>
    <row r="734" spans="1:13" x14ac:dyDescent="0.25">
      <c r="A734" s="152"/>
      <c r="B734" s="155"/>
      <c r="C734" s="41" t="s">
        <v>23</v>
      </c>
      <c r="D734" s="42">
        <v>51</v>
      </c>
      <c r="E734" s="42">
        <v>24</v>
      </c>
      <c r="F734" s="42">
        <v>27</v>
      </c>
      <c r="G734" s="57">
        <f t="shared" si="29"/>
        <v>0.47058823529411764</v>
      </c>
      <c r="H734" s="58"/>
      <c r="I734" s="43"/>
      <c r="J734" s="44"/>
      <c r="K734" s="44"/>
      <c r="L734" s="41"/>
      <c r="M734" s="45"/>
    </row>
    <row r="735" spans="1:13" x14ac:dyDescent="0.25">
      <c r="A735" s="152"/>
      <c r="B735" s="155"/>
      <c r="C735" s="41" t="s">
        <v>37</v>
      </c>
      <c r="D735" s="42">
        <v>6.6</v>
      </c>
      <c r="E735" s="42">
        <v>6.5</v>
      </c>
      <c r="F735" s="42">
        <v>0.1</v>
      </c>
      <c r="G735" s="57">
        <f t="shared" si="29"/>
        <v>0.98484848484848486</v>
      </c>
      <c r="H735" s="58"/>
      <c r="I735" s="43"/>
      <c r="J735" s="44"/>
      <c r="K735" s="44"/>
      <c r="L735" s="41"/>
      <c r="M735" s="45"/>
    </row>
    <row r="736" spans="1:13" ht="16.5" thickBot="1" x14ac:dyDescent="0.3">
      <c r="A736" s="153"/>
      <c r="B736" s="156"/>
      <c r="C736" s="41" t="s">
        <v>208</v>
      </c>
      <c r="D736" s="42">
        <v>223.4</v>
      </c>
      <c r="E736" s="42">
        <v>203</v>
      </c>
      <c r="F736" s="42">
        <v>20.399999999999999</v>
      </c>
      <c r="G736" s="61">
        <f t="shared" si="29"/>
        <v>0.9086839749328558</v>
      </c>
      <c r="H736" s="41"/>
      <c r="I736" s="43"/>
      <c r="J736" s="44"/>
      <c r="K736" s="44"/>
      <c r="L736" s="41"/>
      <c r="M736" s="45"/>
    </row>
    <row r="737" spans="1:13" ht="48" thickBot="1" x14ac:dyDescent="0.3">
      <c r="A737" s="64" t="s">
        <v>1391</v>
      </c>
      <c r="B737" s="65" t="s">
        <v>1392</v>
      </c>
      <c r="C737" s="33" t="s">
        <v>208</v>
      </c>
      <c r="D737" s="66">
        <v>61.9</v>
      </c>
      <c r="E737" s="66"/>
      <c r="F737" s="66">
        <v>61.9</v>
      </c>
      <c r="G737" s="35">
        <f t="shared" si="29"/>
        <v>0</v>
      </c>
      <c r="H737" s="33" t="s">
        <v>1355</v>
      </c>
      <c r="I737" s="36" t="s">
        <v>18</v>
      </c>
      <c r="J737" s="37">
        <v>1</v>
      </c>
      <c r="K737" s="38">
        <v>1</v>
      </c>
      <c r="L737" s="33" t="s">
        <v>1393</v>
      </c>
      <c r="M737" s="39" t="s">
        <v>1901</v>
      </c>
    </row>
    <row r="738" spans="1:13" ht="78.75" x14ac:dyDescent="0.25">
      <c r="A738" s="151" t="s">
        <v>1394</v>
      </c>
      <c r="B738" s="154" t="s">
        <v>1395</v>
      </c>
      <c r="C738" s="33"/>
      <c r="D738" s="34">
        <f>SUM(D739:D740)</f>
        <v>56.7</v>
      </c>
      <c r="E738" s="34">
        <f>SUM(E739:E740)</f>
        <v>44.7</v>
      </c>
      <c r="F738" s="34">
        <f>SUM(F739:F740)</f>
        <v>12</v>
      </c>
      <c r="G738" s="53">
        <f t="shared" si="29"/>
        <v>0.78835978835978837</v>
      </c>
      <c r="H738" s="33" t="s">
        <v>1396</v>
      </c>
      <c r="I738" s="36" t="s">
        <v>27</v>
      </c>
      <c r="J738" s="37">
        <v>100</v>
      </c>
      <c r="K738" s="62">
        <v>90</v>
      </c>
      <c r="L738" s="33"/>
      <c r="M738" s="39" t="s">
        <v>1902</v>
      </c>
    </row>
    <row r="739" spans="1:13" x14ac:dyDescent="0.25">
      <c r="A739" s="152"/>
      <c r="B739" s="155"/>
      <c r="C739" s="41" t="s">
        <v>37</v>
      </c>
      <c r="D739" s="42">
        <v>50</v>
      </c>
      <c r="E739" s="42">
        <v>44.7</v>
      </c>
      <c r="F739" s="42">
        <v>5.3</v>
      </c>
      <c r="G739" s="57">
        <f t="shared" si="29"/>
        <v>0.89400000000000002</v>
      </c>
      <c r="H739" s="58"/>
      <c r="I739" s="43"/>
      <c r="J739" s="44"/>
      <c r="K739" s="44"/>
      <c r="L739" s="41"/>
      <c r="M739" s="45"/>
    </row>
    <row r="740" spans="1:13" ht="16.5" thickBot="1" x14ac:dyDescent="0.3">
      <c r="A740" s="153"/>
      <c r="B740" s="156"/>
      <c r="C740" s="41" t="s">
        <v>23</v>
      </c>
      <c r="D740" s="42">
        <v>6.7</v>
      </c>
      <c r="E740" s="42"/>
      <c r="F740" s="42">
        <v>6.7</v>
      </c>
      <c r="G740" s="61">
        <f t="shared" si="29"/>
        <v>0</v>
      </c>
      <c r="H740" s="41"/>
      <c r="I740" s="43"/>
      <c r="J740" s="44"/>
      <c r="K740" s="44"/>
      <c r="L740" s="41"/>
      <c r="M740" s="45"/>
    </row>
    <row r="741" spans="1:13" ht="63.75" thickBot="1" x14ac:dyDescent="0.3">
      <c r="A741" s="25" t="s">
        <v>1397</v>
      </c>
      <c r="B741" s="26" t="s">
        <v>1398</v>
      </c>
      <c r="C741" s="27"/>
      <c r="D741" s="28">
        <f>D742+D772+D789+D793+D794+D797+D800+D803</f>
        <v>39754.799999999996</v>
      </c>
      <c r="E741" s="28">
        <f>E742+E772+E789+E793+E794+E797+E800+E803</f>
        <v>38298.200000000004</v>
      </c>
      <c r="F741" s="28">
        <f>F742+F772+F789+F793+F794+F797+F800+F803</f>
        <v>1456.6</v>
      </c>
      <c r="G741" s="29">
        <f t="shared" si="29"/>
        <v>0.9633603992473867</v>
      </c>
      <c r="H741" s="129"/>
      <c r="I741" s="130"/>
      <c r="J741" s="130"/>
      <c r="K741" s="130"/>
      <c r="L741" s="130"/>
      <c r="M741" s="131"/>
    </row>
    <row r="742" spans="1:13" ht="47.25" x14ac:dyDescent="0.25">
      <c r="A742" s="151" t="s">
        <v>1399</v>
      </c>
      <c r="B742" s="154" t="s">
        <v>1400</v>
      </c>
      <c r="C742" s="33"/>
      <c r="D742" s="34">
        <f>D743+D744+D747+D750+D753+D756+D759+D760+D763+D764+D765+D768+D771</f>
        <v>6149.5999999999995</v>
      </c>
      <c r="E742" s="34">
        <f>E743+E744+E747+E750+E753+E756+E759+E760+E763+E764+E765+E768+E771</f>
        <v>5429.9</v>
      </c>
      <c r="F742" s="34">
        <f>F743+F744+F747+F750+F753+F756+F759+F760+F763+F764+F765+F768+F771</f>
        <v>719.69999999999993</v>
      </c>
      <c r="G742" s="35">
        <f t="shared" si="29"/>
        <v>0.88296799791856384</v>
      </c>
      <c r="H742" s="33" t="s">
        <v>1401</v>
      </c>
      <c r="I742" s="36" t="s">
        <v>340</v>
      </c>
      <c r="J742" s="37">
        <v>17000</v>
      </c>
      <c r="K742" s="60">
        <v>21844</v>
      </c>
      <c r="L742" s="33" t="s">
        <v>1402</v>
      </c>
      <c r="M742" s="39" t="s">
        <v>1402</v>
      </c>
    </row>
    <row r="743" spans="1:13" ht="32.25" thickBot="1" x14ac:dyDescent="0.3">
      <c r="A743" s="153"/>
      <c r="B743" s="156"/>
      <c r="C743" s="41"/>
      <c r="D743" s="42"/>
      <c r="E743" s="42"/>
      <c r="F743" s="42"/>
      <c r="G743" s="42"/>
      <c r="H743" s="41" t="s">
        <v>1403</v>
      </c>
      <c r="I743" s="43" t="s">
        <v>340</v>
      </c>
      <c r="J743" s="44">
        <v>1701</v>
      </c>
      <c r="K743" s="72">
        <v>1461</v>
      </c>
      <c r="L743" s="41"/>
      <c r="M743" s="45" t="s">
        <v>1402</v>
      </c>
    </row>
    <row r="744" spans="1:13" ht="30" customHeight="1" x14ac:dyDescent="0.25">
      <c r="A744" s="151" t="s">
        <v>1404</v>
      </c>
      <c r="B744" s="154" t="s">
        <v>1405</v>
      </c>
      <c r="C744" s="33"/>
      <c r="D744" s="34">
        <f>SUM(D745:D746)</f>
        <v>2180</v>
      </c>
      <c r="E744" s="34">
        <f>SUM(E745:E746)</f>
        <v>2044.8</v>
      </c>
      <c r="F744" s="34">
        <f>SUM(F745:F746)</f>
        <v>135.19999999999999</v>
      </c>
      <c r="G744" s="53">
        <f t="shared" ref="G744:G765" si="30">SUM(E744/D744)</f>
        <v>0.93798165137614675</v>
      </c>
      <c r="H744" s="33" t="s">
        <v>1406</v>
      </c>
      <c r="I744" s="36" t="s">
        <v>340</v>
      </c>
      <c r="J744" s="37">
        <v>4000</v>
      </c>
      <c r="K744" s="62">
        <v>3792</v>
      </c>
      <c r="L744" s="33" t="s">
        <v>1402</v>
      </c>
      <c r="M744" s="39" t="s">
        <v>1402</v>
      </c>
    </row>
    <row r="745" spans="1:13" x14ac:dyDescent="0.25">
      <c r="A745" s="152"/>
      <c r="B745" s="155"/>
      <c r="C745" s="41" t="s">
        <v>37</v>
      </c>
      <c r="D745" s="42">
        <v>2080</v>
      </c>
      <c r="E745" s="42">
        <v>1944.8</v>
      </c>
      <c r="F745" s="42">
        <v>135.19999999999999</v>
      </c>
      <c r="G745" s="57">
        <f t="shared" si="30"/>
        <v>0.93499999999999994</v>
      </c>
      <c r="H745" s="58"/>
      <c r="I745" s="43"/>
      <c r="J745" s="44"/>
      <c r="K745" s="44"/>
      <c r="L745" s="41"/>
      <c r="M745" s="45"/>
    </row>
    <row r="746" spans="1:13" ht="16.5" thickBot="1" x14ac:dyDescent="0.3">
      <c r="A746" s="153"/>
      <c r="B746" s="156"/>
      <c r="C746" s="41" t="s">
        <v>78</v>
      </c>
      <c r="D746" s="42">
        <v>100</v>
      </c>
      <c r="E746" s="42">
        <v>100</v>
      </c>
      <c r="F746" s="42"/>
      <c r="G746" s="61">
        <f t="shared" si="30"/>
        <v>1</v>
      </c>
      <c r="H746" s="41"/>
      <c r="I746" s="43"/>
      <c r="J746" s="44"/>
      <c r="K746" s="44"/>
      <c r="L746" s="41"/>
      <c r="M746" s="45"/>
    </row>
    <row r="747" spans="1:13" ht="30" customHeight="1" x14ac:dyDescent="0.25">
      <c r="A747" s="151" t="s">
        <v>1407</v>
      </c>
      <c r="B747" s="154" t="s">
        <v>1408</v>
      </c>
      <c r="C747" s="33"/>
      <c r="D747" s="34">
        <f>SUM(D748:D749)</f>
        <v>1549.8</v>
      </c>
      <c r="E747" s="34">
        <f>SUM(E748:E749)</f>
        <v>1410.6</v>
      </c>
      <c r="F747" s="34">
        <f>SUM(F748:F749)</f>
        <v>139.19999999999999</v>
      </c>
      <c r="G747" s="53">
        <f t="shared" si="30"/>
        <v>0.91018195896244669</v>
      </c>
      <c r="H747" s="33" t="s">
        <v>1406</v>
      </c>
      <c r="I747" s="36" t="s">
        <v>340</v>
      </c>
      <c r="J747" s="37">
        <v>8600</v>
      </c>
      <c r="K747" s="60">
        <v>12223</v>
      </c>
      <c r="L747" s="33" t="s">
        <v>1402</v>
      </c>
      <c r="M747" s="39" t="s">
        <v>1402</v>
      </c>
    </row>
    <row r="748" spans="1:13" x14ac:dyDescent="0.25">
      <c r="A748" s="152"/>
      <c r="B748" s="155"/>
      <c r="C748" s="41" t="s">
        <v>78</v>
      </c>
      <c r="D748" s="42">
        <v>1009.8</v>
      </c>
      <c r="E748" s="42">
        <v>1009.8</v>
      </c>
      <c r="F748" s="42"/>
      <c r="G748" s="57">
        <f t="shared" si="30"/>
        <v>1</v>
      </c>
      <c r="H748" s="58"/>
      <c r="I748" s="43"/>
      <c r="J748" s="44"/>
      <c r="K748" s="44"/>
      <c r="L748" s="41"/>
      <c r="M748" s="45"/>
    </row>
    <row r="749" spans="1:13" ht="16.5" thickBot="1" x14ac:dyDescent="0.3">
      <c r="A749" s="153"/>
      <c r="B749" s="156"/>
      <c r="C749" s="41" t="s">
        <v>23</v>
      </c>
      <c r="D749" s="42">
        <v>540</v>
      </c>
      <c r="E749" s="42">
        <v>400.8</v>
      </c>
      <c r="F749" s="42">
        <v>139.19999999999999</v>
      </c>
      <c r="G749" s="61">
        <f t="shared" si="30"/>
        <v>0.74222222222222223</v>
      </c>
      <c r="H749" s="41"/>
      <c r="I749" s="43"/>
      <c r="J749" s="44"/>
      <c r="K749" s="44"/>
      <c r="L749" s="41"/>
      <c r="M749" s="45"/>
    </row>
    <row r="750" spans="1:13" ht="30" customHeight="1" x14ac:dyDescent="0.25">
      <c r="A750" s="151" t="s">
        <v>1409</v>
      </c>
      <c r="B750" s="154" t="s">
        <v>1410</v>
      </c>
      <c r="C750" s="33"/>
      <c r="D750" s="34">
        <f>SUM(D751:D752)</f>
        <v>20</v>
      </c>
      <c r="E750" s="34">
        <f>SUM(E751:E752)</f>
        <v>20</v>
      </c>
      <c r="F750" s="34"/>
      <c r="G750" s="53">
        <f t="shared" si="30"/>
        <v>1</v>
      </c>
      <c r="H750" s="33" t="s">
        <v>1406</v>
      </c>
      <c r="I750" s="36" t="s">
        <v>340</v>
      </c>
      <c r="J750" s="37">
        <v>2200</v>
      </c>
      <c r="K750" s="60">
        <v>3341</v>
      </c>
      <c r="L750" s="33" t="s">
        <v>1402</v>
      </c>
      <c r="M750" s="39" t="s">
        <v>1402</v>
      </c>
    </row>
    <row r="751" spans="1:13" x14ac:dyDescent="0.25">
      <c r="A751" s="152"/>
      <c r="B751" s="155"/>
      <c r="C751" s="41" t="s">
        <v>37</v>
      </c>
      <c r="D751" s="42">
        <v>2</v>
      </c>
      <c r="E751" s="42">
        <v>2</v>
      </c>
      <c r="F751" s="42"/>
      <c r="G751" s="57">
        <f t="shared" si="30"/>
        <v>1</v>
      </c>
      <c r="H751" s="58"/>
      <c r="I751" s="43"/>
      <c r="J751" s="44"/>
      <c r="K751" s="44"/>
      <c r="L751" s="41"/>
      <c r="M751" s="45"/>
    </row>
    <row r="752" spans="1:13" ht="16.5" thickBot="1" x14ac:dyDescent="0.3">
      <c r="A752" s="153"/>
      <c r="B752" s="156"/>
      <c r="C752" s="41" t="s">
        <v>23</v>
      </c>
      <c r="D752" s="42">
        <v>18</v>
      </c>
      <c r="E752" s="42">
        <v>18</v>
      </c>
      <c r="F752" s="42"/>
      <c r="G752" s="61">
        <f t="shared" si="30"/>
        <v>1</v>
      </c>
      <c r="H752" s="41"/>
      <c r="I752" s="43"/>
      <c r="J752" s="44"/>
      <c r="K752" s="44"/>
      <c r="L752" s="41"/>
      <c r="M752" s="45"/>
    </row>
    <row r="753" spans="1:14" ht="30" customHeight="1" x14ac:dyDescent="0.25">
      <c r="A753" s="151" t="s">
        <v>1411</v>
      </c>
      <c r="B753" s="154" t="s">
        <v>1412</v>
      </c>
      <c r="C753" s="33"/>
      <c r="D753" s="34">
        <f>SUM(D754:D755)</f>
        <v>69</v>
      </c>
      <c r="E753" s="34">
        <f>SUM(E754:E755)</f>
        <v>44.8</v>
      </c>
      <c r="F753" s="34">
        <f>SUM(F754:F755)</f>
        <v>24.2</v>
      </c>
      <c r="G753" s="53">
        <f t="shared" si="30"/>
        <v>0.64927536231884053</v>
      </c>
      <c r="H753" s="33" t="s">
        <v>1406</v>
      </c>
      <c r="I753" s="36" t="s">
        <v>340</v>
      </c>
      <c r="J753" s="37">
        <v>1500</v>
      </c>
      <c r="K753" s="60">
        <v>4097</v>
      </c>
      <c r="L753" s="33" t="s">
        <v>1402</v>
      </c>
      <c r="M753" s="39" t="s">
        <v>1402</v>
      </c>
    </row>
    <row r="754" spans="1:14" x14ac:dyDescent="0.25">
      <c r="A754" s="152"/>
      <c r="B754" s="155"/>
      <c r="C754" s="41" t="s">
        <v>37</v>
      </c>
      <c r="D754" s="42">
        <v>35</v>
      </c>
      <c r="E754" s="42">
        <v>10.8</v>
      </c>
      <c r="F754" s="42">
        <v>24.2</v>
      </c>
      <c r="G754" s="57">
        <f t="shared" si="30"/>
        <v>0.30857142857142861</v>
      </c>
      <c r="H754" s="58"/>
      <c r="I754" s="43"/>
      <c r="J754" s="44"/>
      <c r="K754" s="44"/>
      <c r="L754" s="41"/>
      <c r="M754" s="45"/>
    </row>
    <row r="755" spans="1:14" ht="16.5" thickBot="1" x14ac:dyDescent="0.3">
      <c r="A755" s="153"/>
      <c r="B755" s="156"/>
      <c r="C755" s="41" t="s">
        <v>23</v>
      </c>
      <c r="D755" s="42">
        <v>34</v>
      </c>
      <c r="E755" s="42">
        <v>34</v>
      </c>
      <c r="F755" s="42"/>
      <c r="G755" s="61">
        <f t="shared" si="30"/>
        <v>1</v>
      </c>
      <c r="H755" s="41"/>
      <c r="I755" s="43"/>
      <c r="J755" s="44"/>
      <c r="K755" s="44"/>
      <c r="L755" s="41"/>
      <c r="M755" s="45"/>
    </row>
    <row r="756" spans="1:14" ht="90" customHeight="1" x14ac:dyDescent="0.25">
      <c r="A756" s="151" t="s">
        <v>1413</v>
      </c>
      <c r="B756" s="154" t="s">
        <v>1414</v>
      </c>
      <c r="C756" s="33"/>
      <c r="D756" s="34">
        <f>SUM(D757:D758)</f>
        <v>100</v>
      </c>
      <c r="E756" s="34">
        <f>SUM(E757:E758)</f>
        <v>90.7</v>
      </c>
      <c r="F756" s="34">
        <f>SUM(F757:F758)</f>
        <v>9.3000000000000007</v>
      </c>
      <c r="G756" s="53">
        <f t="shared" si="30"/>
        <v>0.90700000000000003</v>
      </c>
      <c r="H756" s="33" t="s">
        <v>1406</v>
      </c>
      <c r="I756" s="36" t="s">
        <v>340</v>
      </c>
      <c r="J756" s="37">
        <v>190</v>
      </c>
      <c r="K756" s="60">
        <v>248</v>
      </c>
      <c r="L756" s="33" t="s">
        <v>1402</v>
      </c>
      <c r="M756" s="39" t="s">
        <v>1402</v>
      </c>
    </row>
    <row r="757" spans="1:14" x14ac:dyDescent="0.25">
      <c r="A757" s="152"/>
      <c r="B757" s="155"/>
      <c r="C757" s="41" t="s">
        <v>37</v>
      </c>
      <c r="D757" s="42">
        <v>30</v>
      </c>
      <c r="E757" s="42">
        <v>20.7</v>
      </c>
      <c r="F757" s="42">
        <v>9.3000000000000007</v>
      </c>
      <c r="G757" s="57">
        <f t="shared" si="30"/>
        <v>0.69</v>
      </c>
      <c r="H757" s="58"/>
      <c r="I757" s="43"/>
      <c r="J757" s="44"/>
      <c r="K757" s="44"/>
      <c r="L757" s="41"/>
      <c r="M757" s="45"/>
    </row>
    <row r="758" spans="1:14" ht="16.5" thickBot="1" x14ac:dyDescent="0.3">
      <c r="A758" s="153"/>
      <c r="B758" s="156"/>
      <c r="C758" s="41" t="s">
        <v>23</v>
      </c>
      <c r="D758" s="42">
        <v>70</v>
      </c>
      <c r="E758" s="42">
        <v>70</v>
      </c>
      <c r="F758" s="42"/>
      <c r="G758" s="61">
        <f t="shared" si="30"/>
        <v>1</v>
      </c>
      <c r="H758" s="41"/>
      <c r="I758" s="43"/>
      <c r="J758" s="44"/>
      <c r="K758" s="44"/>
      <c r="L758" s="41"/>
      <c r="M758" s="45"/>
    </row>
    <row r="759" spans="1:14" ht="32.25" thickBot="1" x14ac:dyDescent="0.3">
      <c r="A759" s="64" t="s">
        <v>1415</v>
      </c>
      <c r="B759" s="65" t="s">
        <v>1416</v>
      </c>
      <c r="C759" s="33" t="s">
        <v>792</v>
      </c>
      <c r="D759" s="66">
        <v>676.5</v>
      </c>
      <c r="E759" s="66">
        <v>513.29999999999995</v>
      </c>
      <c r="F759" s="66">
        <v>163.19999999999999</v>
      </c>
      <c r="G759" s="35">
        <f t="shared" si="30"/>
        <v>0.75875831485587575</v>
      </c>
      <c r="H759" s="33" t="s">
        <v>1406</v>
      </c>
      <c r="I759" s="36" t="s">
        <v>340</v>
      </c>
      <c r="J759" s="37">
        <v>1701</v>
      </c>
      <c r="K759" s="62">
        <v>1461</v>
      </c>
      <c r="L759" s="33" t="s">
        <v>1402</v>
      </c>
      <c r="M759" s="39" t="s">
        <v>1402</v>
      </c>
    </row>
    <row r="760" spans="1:14" ht="45" customHeight="1" x14ac:dyDescent="0.25">
      <c r="A760" s="151" t="s">
        <v>1417</v>
      </c>
      <c r="B760" s="154" t="s">
        <v>1418</v>
      </c>
      <c r="C760" s="33"/>
      <c r="D760" s="34">
        <f>SUM(D761:D762)</f>
        <v>663.2</v>
      </c>
      <c r="E760" s="34">
        <f>SUM(E761:E762)</f>
        <v>487.2</v>
      </c>
      <c r="F760" s="34">
        <f>SUM(F761:F762)</f>
        <v>176</v>
      </c>
      <c r="G760" s="53">
        <f t="shared" si="30"/>
        <v>0.73462002412545224</v>
      </c>
      <c r="H760" s="33" t="s">
        <v>1406</v>
      </c>
      <c r="I760" s="36" t="s">
        <v>340</v>
      </c>
      <c r="J760" s="37">
        <v>500</v>
      </c>
      <c r="K760" s="60">
        <v>2183</v>
      </c>
      <c r="L760" s="33" t="s">
        <v>1402</v>
      </c>
      <c r="M760" s="39" t="s">
        <v>1402</v>
      </c>
    </row>
    <row r="761" spans="1:14" x14ac:dyDescent="0.25">
      <c r="A761" s="152"/>
      <c r="B761" s="155"/>
      <c r="C761" s="41" t="s">
        <v>37</v>
      </c>
      <c r="D761" s="42">
        <v>152.19999999999999</v>
      </c>
      <c r="E761" s="42">
        <v>152.19999999999999</v>
      </c>
      <c r="F761" s="42"/>
      <c r="G761" s="57">
        <f t="shared" si="30"/>
        <v>1</v>
      </c>
      <c r="H761" s="58"/>
      <c r="I761" s="43"/>
      <c r="J761" s="44"/>
      <c r="K761" s="44"/>
      <c r="L761" s="41"/>
      <c r="M761" s="45"/>
    </row>
    <row r="762" spans="1:14" ht="16.5" thickBot="1" x14ac:dyDescent="0.3">
      <c r="A762" s="153"/>
      <c r="B762" s="156"/>
      <c r="C762" s="41" t="s">
        <v>23</v>
      </c>
      <c r="D762" s="42">
        <v>511</v>
      </c>
      <c r="E762" s="42">
        <v>335</v>
      </c>
      <c r="F762" s="42">
        <v>176</v>
      </c>
      <c r="G762" s="61">
        <f t="shared" si="30"/>
        <v>0.65557729941291587</v>
      </c>
      <c r="H762" s="41"/>
      <c r="I762" s="43"/>
      <c r="J762" s="44"/>
      <c r="K762" s="44"/>
      <c r="L762" s="41"/>
      <c r="M762" s="45"/>
    </row>
    <row r="763" spans="1:14" ht="32.25" thickBot="1" x14ac:dyDescent="0.3">
      <c r="A763" s="64" t="s">
        <v>1419</v>
      </c>
      <c r="B763" s="65" t="s">
        <v>1420</v>
      </c>
      <c r="C763" s="33" t="s">
        <v>792</v>
      </c>
      <c r="D763" s="66">
        <v>39.9</v>
      </c>
      <c r="E763" s="66">
        <v>15.3</v>
      </c>
      <c r="F763" s="66">
        <v>24.6</v>
      </c>
      <c r="G763" s="35">
        <f t="shared" si="30"/>
        <v>0.38345864661654139</v>
      </c>
      <c r="H763" s="33" t="s">
        <v>1406</v>
      </c>
      <c r="I763" s="36" t="s">
        <v>340</v>
      </c>
      <c r="J763" s="37">
        <v>10</v>
      </c>
      <c r="K763" s="62">
        <v>7</v>
      </c>
      <c r="L763" s="33" t="s">
        <v>1402</v>
      </c>
      <c r="M763" s="39" t="s">
        <v>1402</v>
      </c>
    </row>
    <row r="764" spans="1:14" ht="63.75" thickBot="1" x14ac:dyDescent="0.3">
      <c r="A764" s="64" t="s">
        <v>1421</v>
      </c>
      <c r="B764" s="65" t="s">
        <v>1422</v>
      </c>
      <c r="C764" s="33" t="s">
        <v>186</v>
      </c>
      <c r="D764" s="66">
        <v>0.8</v>
      </c>
      <c r="E764" s="66">
        <v>0.8</v>
      </c>
      <c r="F764" s="66"/>
      <c r="G764" s="35">
        <f t="shared" si="30"/>
        <v>1</v>
      </c>
      <c r="H764" s="33" t="s">
        <v>1406</v>
      </c>
      <c r="I764" s="36" t="s">
        <v>340</v>
      </c>
      <c r="J764" s="37">
        <v>1</v>
      </c>
      <c r="K764" s="38">
        <v>1</v>
      </c>
      <c r="L764" s="33" t="s">
        <v>1402</v>
      </c>
      <c r="M764" s="39"/>
      <c r="N764" s="93"/>
    </row>
    <row r="765" spans="1:14" ht="135" customHeight="1" x14ac:dyDescent="0.25">
      <c r="A765" s="151" t="s">
        <v>1423</v>
      </c>
      <c r="B765" s="154" t="s">
        <v>1424</v>
      </c>
      <c r="C765" s="33"/>
      <c r="D765" s="34">
        <f>SUM(D766:D767)</f>
        <v>350</v>
      </c>
      <c r="E765" s="34">
        <f>SUM(E766:E767)</f>
        <v>346</v>
      </c>
      <c r="F765" s="34">
        <f>SUM(F766:F767)</f>
        <v>4</v>
      </c>
      <c r="G765" s="53">
        <f t="shared" si="30"/>
        <v>0.98857142857142855</v>
      </c>
      <c r="H765" s="33" t="s">
        <v>1406</v>
      </c>
      <c r="I765" s="36" t="s">
        <v>340</v>
      </c>
      <c r="J765" s="37">
        <v>650</v>
      </c>
      <c r="K765" s="60">
        <v>907</v>
      </c>
      <c r="L765" s="33" t="s">
        <v>1402</v>
      </c>
      <c r="M765" s="39" t="s">
        <v>1402</v>
      </c>
    </row>
    <row r="766" spans="1:14" x14ac:dyDescent="0.25">
      <c r="A766" s="152"/>
      <c r="B766" s="155"/>
      <c r="C766" s="41" t="s">
        <v>186</v>
      </c>
      <c r="D766" s="42"/>
      <c r="E766" s="42"/>
      <c r="F766" s="42"/>
      <c r="G766" s="57"/>
      <c r="H766" s="58"/>
      <c r="I766" s="43"/>
      <c r="J766" s="44"/>
      <c r="K766" s="44"/>
      <c r="L766" s="41"/>
      <c r="M766" s="45"/>
    </row>
    <row r="767" spans="1:14" ht="16.5" thickBot="1" x14ac:dyDescent="0.3">
      <c r="A767" s="153"/>
      <c r="B767" s="156"/>
      <c r="C767" s="41" t="s">
        <v>78</v>
      </c>
      <c r="D767" s="42">
        <v>350</v>
      </c>
      <c r="E767" s="42">
        <v>346</v>
      </c>
      <c r="F767" s="42">
        <v>4</v>
      </c>
      <c r="G767" s="61">
        <f>SUM(E767/D767)</f>
        <v>0.98857142857142855</v>
      </c>
      <c r="H767" s="41"/>
      <c r="I767" s="43"/>
      <c r="J767" s="44"/>
      <c r="K767" s="44"/>
      <c r="L767" s="41"/>
      <c r="M767" s="45"/>
    </row>
    <row r="768" spans="1:14" ht="180" customHeight="1" x14ac:dyDescent="0.25">
      <c r="A768" s="151" t="s">
        <v>1425</v>
      </c>
      <c r="B768" s="154" t="s">
        <v>1426</v>
      </c>
      <c r="C768" s="33"/>
      <c r="D768" s="34">
        <f>SUM(D769:D770)</f>
        <v>70</v>
      </c>
      <c r="E768" s="34">
        <f>SUM(E769:E770)</f>
        <v>26</v>
      </c>
      <c r="F768" s="34">
        <f>SUM(F769:F770)</f>
        <v>44</v>
      </c>
      <c r="G768" s="53">
        <f>SUM(E768/D768)</f>
        <v>0.37142857142857144</v>
      </c>
      <c r="H768" s="33" t="s">
        <v>1406</v>
      </c>
      <c r="I768" s="36" t="s">
        <v>340</v>
      </c>
      <c r="J768" s="37">
        <v>550</v>
      </c>
      <c r="K768" s="74">
        <v>135</v>
      </c>
      <c r="L768" s="33" t="s">
        <v>1402</v>
      </c>
      <c r="M768" s="39" t="s">
        <v>1402</v>
      </c>
    </row>
    <row r="769" spans="1:14" x14ac:dyDescent="0.25">
      <c r="A769" s="152"/>
      <c r="B769" s="155"/>
      <c r="C769" s="41" t="s">
        <v>186</v>
      </c>
      <c r="D769" s="42"/>
      <c r="E769" s="42"/>
      <c r="F769" s="42"/>
      <c r="G769" s="57"/>
      <c r="H769" s="58"/>
      <c r="I769" s="43"/>
      <c r="J769" s="44"/>
      <c r="K769" s="44"/>
      <c r="L769" s="41"/>
      <c r="M769" s="45"/>
    </row>
    <row r="770" spans="1:14" ht="16.5" thickBot="1" x14ac:dyDescent="0.3">
      <c r="A770" s="153"/>
      <c r="B770" s="156"/>
      <c r="C770" s="41" t="s">
        <v>78</v>
      </c>
      <c r="D770" s="42">
        <v>70</v>
      </c>
      <c r="E770" s="42">
        <v>26</v>
      </c>
      <c r="F770" s="42">
        <v>44</v>
      </c>
      <c r="G770" s="61">
        <f>SUM(E770/D770)</f>
        <v>0.37142857142857144</v>
      </c>
      <c r="H770" s="41"/>
      <c r="I770" s="43"/>
      <c r="J770" s="44"/>
      <c r="K770" s="44"/>
      <c r="L770" s="41"/>
      <c r="M770" s="45"/>
    </row>
    <row r="771" spans="1:14" ht="126.75" thickBot="1" x14ac:dyDescent="0.3">
      <c r="A771" s="64" t="s">
        <v>1427</v>
      </c>
      <c r="B771" s="65" t="s">
        <v>1428</v>
      </c>
      <c r="C771" s="33" t="s">
        <v>78</v>
      </c>
      <c r="D771" s="66">
        <v>430.4</v>
      </c>
      <c r="E771" s="66">
        <v>430.4</v>
      </c>
      <c r="F771" s="66">
        <v>0</v>
      </c>
      <c r="G771" s="35">
        <f>SUM(E771/D771)</f>
        <v>1</v>
      </c>
      <c r="H771" s="33"/>
      <c r="I771" s="36" t="s">
        <v>340</v>
      </c>
      <c r="J771" s="37">
        <v>456</v>
      </c>
      <c r="K771" s="60">
        <v>456</v>
      </c>
      <c r="L771" s="33" t="s">
        <v>1402</v>
      </c>
      <c r="M771" s="33" t="s">
        <v>1402</v>
      </c>
    </row>
    <row r="772" spans="1:14" ht="30" customHeight="1" x14ac:dyDescent="0.25">
      <c r="A772" s="151" t="s">
        <v>1429</v>
      </c>
      <c r="B772" s="154" t="s">
        <v>1430</v>
      </c>
      <c r="C772" s="33"/>
      <c r="D772" s="34">
        <f>SUM(D773:D788)</f>
        <v>21772.300000000007</v>
      </c>
      <c r="E772" s="34">
        <f>SUM(E773:E788)</f>
        <v>21317.800000000003</v>
      </c>
      <c r="F772" s="34">
        <f>SUM(F773:F788)+0.1</f>
        <v>454.49999999999994</v>
      </c>
      <c r="G772" s="35">
        <f>SUM(E772/D772)</f>
        <v>0.97912485130188343</v>
      </c>
      <c r="H772" s="33" t="s">
        <v>1406</v>
      </c>
      <c r="I772" s="36" t="s">
        <v>340</v>
      </c>
      <c r="J772" s="37">
        <v>19000</v>
      </c>
      <c r="K772" s="60">
        <v>20278</v>
      </c>
      <c r="L772" s="33" t="s">
        <v>1402</v>
      </c>
      <c r="M772" s="39"/>
      <c r="N772" s="93"/>
    </row>
    <row r="773" spans="1:14" ht="16.5" thickBot="1" x14ac:dyDescent="0.3">
      <c r="A773" s="153"/>
      <c r="B773" s="156"/>
      <c r="C773" s="41"/>
      <c r="D773" s="42"/>
      <c r="E773" s="42"/>
      <c r="F773" s="42"/>
      <c r="G773" s="61"/>
      <c r="H773" s="41" t="s">
        <v>1431</v>
      </c>
      <c r="I773" s="43" t="s">
        <v>340</v>
      </c>
      <c r="J773" s="44">
        <v>33</v>
      </c>
      <c r="K773" s="47">
        <v>33</v>
      </c>
      <c r="L773" s="41"/>
      <c r="M773" s="45" t="s">
        <v>1903</v>
      </c>
    </row>
    <row r="774" spans="1:14" ht="32.25" thickBot="1" x14ac:dyDescent="0.3">
      <c r="A774" s="64" t="s">
        <v>1432</v>
      </c>
      <c r="B774" s="65" t="s">
        <v>1433</v>
      </c>
      <c r="C774" s="33" t="s">
        <v>186</v>
      </c>
      <c r="D774" s="66">
        <v>528</v>
      </c>
      <c r="E774" s="66">
        <v>397.8</v>
      </c>
      <c r="F774" s="66">
        <v>130.19999999999999</v>
      </c>
      <c r="G774" s="35">
        <f t="shared" ref="G774:G789" si="31">SUM(E774/D774)</f>
        <v>0.75340909090909092</v>
      </c>
      <c r="H774" s="33" t="s">
        <v>1406</v>
      </c>
      <c r="I774" s="36" t="s">
        <v>340</v>
      </c>
      <c r="J774" s="37">
        <v>830</v>
      </c>
      <c r="K774" s="62">
        <v>826</v>
      </c>
      <c r="L774" s="33" t="s">
        <v>1402</v>
      </c>
      <c r="M774" s="39" t="s">
        <v>1402</v>
      </c>
    </row>
    <row r="775" spans="1:14" ht="32.25" thickBot="1" x14ac:dyDescent="0.3">
      <c r="A775" s="64" t="s">
        <v>1434</v>
      </c>
      <c r="B775" s="65" t="s">
        <v>1435</v>
      </c>
      <c r="C775" s="33" t="s">
        <v>186</v>
      </c>
      <c r="D775" s="66">
        <v>19106</v>
      </c>
      <c r="E775" s="66">
        <v>19055.599999999999</v>
      </c>
      <c r="F775" s="66">
        <v>50.4</v>
      </c>
      <c r="G775" s="35">
        <f t="shared" si="31"/>
        <v>0.99736208520883485</v>
      </c>
      <c r="H775" s="33" t="s">
        <v>1406</v>
      </c>
      <c r="I775" s="36" t="s">
        <v>340</v>
      </c>
      <c r="J775" s="37">
        <v>19500</v>
      </c>
      <c r="K775" s="60">
        <v>19849</v>
      </c>
      <c r="L775" s="33" t="s">
        <v>1402</v>
      </c>
      <c r="M775" s="39" t="s">
        <v>1402</v>
      </c>
    </row>
    <row r="776" spans="1:14" ht="48" thickBot="1" x14ac:dyDescent="0.3">
      <c r="A776" s="64" t="s">
        <v>1436</v>
      </c>
      <c r="B776" s="65" t="s">
        <v>1437</v>
      </c>
      <c r="C776" s="33" t="s">
        <v>186</v>
      </c>
      <c r="D776" s="66">
        <v>1.4</v>
      </c>
      <c r="E776" s="66">
        <v>0.5</v>
      </c>
      <c r="F776" s="66">
        <v>0.9</v>
      </c>
      <c r="G776" s="35">
        <f t="shared" si="31"/>
        <v>0.35714285714285715</v>
      </c>
      <c r="H776" s="33" t="s">
        <v>1406</v>
      </c>
      <c r="I776" s="36" t="s">
        <v>340</v>
      </c>
      <c r="J776" s="37">
        <v>1</v>
      </c>
      <c r="K776" s="38">
        <v>1</v>
      </c>
      <c r="L776" s="33" t="s">
        <v>1402</v>
      </c>
      <c r="M776" s="39" t="s">
        <v>1402</v>
      </c>
    </row>
    <row r="777" spans="1:14" ht="48" thickBot="1" x14ac:dyDescent="0.3">
      <c r="A777" s="64" t="s">
        <v>1438</v>
      </c>
      <c r="B777" s="65" t="s">
        <v>1439</v>
      </c>
      <c r="C777" s="33" t="s">
        <v>186</v>
      </c>
      <c r="D777" s="66">
        <v>46.3</v>
      </c>
      <c r="E777" s="66">
        <v>28.6</v>
      </c>
      <c r="F777" s="66">
        <v>17.7</v>
      </c>
      <c r="G777" s="35">
        <f t="shared" si="31"/>
        <v>0.61771058315334781</v>
      </c>
      <c r="H777" s="33" t="s">
        <v>1406</v>
      </c>
      <c r="I777" s="36" t="s">
        <v>340</v>
      </c>
      <c r="J777" s="37">
        <v>100</v>
      </c>
      <c r="K777" s="60">
        <v>103</v>
      </c>
      <c r="L777" s="33" t="s">
        <v>1402</v>
      </c>
      <c r="M777" s="39" t="s">
        <v>1402</v>
      </c>
    </row>
    <row r="778" spans="1:14" ht="32.25" thickBot="1" x14ac:dyDescent="0.3">
      <c r="A778" s="64" t="s">
        <v>1440</v>
      </c>
      <c r="B778" s="65" t="s">
        <v>1441</v>
      </c>
      <c r="C778" s="33" t="s">
        <v>186</v>
      </c>
      <c r="D778" s="66">
        <v>726.7</v>
      </c>
      <c r="E778" s="66">
        <v>652.70000000000005</v>
      </c>
      <c r="F778" s="66">
        <v>74</v>
      </c>
      <c r="G778" s="35">
        <f t="shared" si="31"/>
        <v>0.89816980872437047</v>
      </c>
      <c r="H778" s="33" t="s">
        <v>1406</v>
      </c>
      <c r="I778" s="36" t="s">
        <v>340</v>
      </c>
      <c r="J778" s="37">
        <v>420</v>
      </c>
      <c r="K778" s="60">
        <v>456</v>
      </c>
      <c r="L778" s="33" t="s">
        <v>1402</v>
      </c>
      <c r="M778" s="39" t="s">
        <v>1904</v>
      </c>
    </row>
    <row r="779" spans="1:14" ht="48" thickBot="1" x14ac:dyDescent="0.3">
      <c r="A779" s="64" t="s">
        <v>1442</v>
      </c>
      <c r="B779" s="65" t="s">
        <v>1443</v>
      </c>
      <c r="C779" s="33" t="s">
        <v>186</v>
      </c>
      <c r="D779" s="66">
        <v>140</v>
      </c>
      <c r="E779" s="66">
        <v>120.5</v>
      </c>
      <c r="F779" s="66">
        <v>19.5</v>
      </c>
      <c r="G779" s="35">
        <f t="shared" si="31"/>
        <v>0.86071428571428577</v>
      </c>
      <c r="H779" s="33" t="s">
        <v>1406</v>
      </c>
      <c r="I779" s="36" t="s">
        <v>340</v>
      </c>
      <c r="J779" s="37">
        <v>45</v>
      </c>
      <c r="K779" s="60">
        <v>65</v>
      </c>
      <c r="L779" s="33" t="s">
        <v>1402</v>
      </c>
      <c r="M779" s="39" t="s">
        <v>1402</v>
      </c>
    </row>
    <row r="780" spans="1:14" ht="48" thickBot="1" x14ac:dyDescent="0.3">
      <c r="A780" s="64" t="s">
        <v>1444</v>
      </c>
      <c r="B780" s="65" t="s">
        <v>1445</v>
      </c>
      <c r="C780" s="33" t="s">
        <v>186</v>
      </c>
      <c r="D780" s="66">
        <v>456.8</v>
      </c>
      <c r="E780" s="66">
        <v>429.5</v>
      </c>
      <c r="F780" s="66">
        <v>27.3</v>
      </c>
      <c r="G780" s="35">
        <f t="shared" si="31"/>
        <v>0.9402364273204904</v>
      </c>
      <c r="H780" s="33" t="s">
        <v>1406</v>
      </c>
      <c r="I780" s="36" t="s">
        <v>340</v>
      </c>
      <c r="J780" s="37">
        <v>250</v>
      </c>
      <c r="K780" s="60">
        <v>316</v>
      </c>
      <c r="L780" s="33" t="s">
        <v>1402</v>
      </c>
      <c r="M780" s="39" t="s">
        <v>1402</v>
      </c>
    </row>
    <row r="781" spans="1:14" ht="63.75" thickBot="1" x14ac:dyDescent="0.3">
      <c r="A781" s="64" t="s">
        <v>1446</v>
      </c>
      <c r="B781" s="65" t="s">
        <v>1447</v>
      </c>
      <c r="C781" s="33" t="s">
        <v>186</v>
      </c>
      <c r="D781" s="66">
        <v>76.400000000000006</v>
      </c>
      <c r="E781" s="66">
        <v>63.7</v>
      </c>
      <c r="F781" s="66">
        <v>12.7</v>
      </c>
      <c r="G781" s="35">
        <f t="shared" si="31"/>
        <v>0.83376963350785338</v>
      </c>
      <c r="H781" s="33" t="s">
        <v>1406</v>
      </c>
      <c r="I781" s="36" t="s">
        <v>340</v>
      </c>
      <c r="J781" s="37">
        <v>35</v>
      </c>
      <c r="K781" s="60">
        <v>35</v>
      </c>
      <c r="L781" s="33" t="s">
        <v>1402</v>
      </c>
      <c r="M781" s="39" t="s">
        <v>1402</v>
      </c>
    </row>
    <row r="782" spans="1:14" ht="48" thickBot="1" x14ac:dyDescent="0.3">
      <c r="A782" s="64" t="s">
        <v>1448</v>
      </c>
      <c r="B782" s="65" t="s">
        <v>1449</v>
      </c>
      <c r="C782" s="33" t="s">
        <v>186</v>
      </c>
      <c r="D782" s="66">
        <v>155.6</v>
      </c>
      <c r="E782" s="66">
        <v>51.5</v>
      </c>
      <c r="F782" s="66">
        <v>104.1</v>
      </c>
      <c r="G782" s="35">
        <f t="shared" si="31"/>
        <v>0.33097686375321339</v>
      </c>
      <c r="H782" s="33" t="s">
        <v>1406</v>
      </c>
      <c r="I782" s="36" t="s">
        <v>340</v>
      </c>
      <c r="J782" s="37">
        <v>75</v>
      </c>
      <c r="K782" s="74">
        <v>34</v>
      </c>
      <c r="L782" s="33" t="s">
        <v>1402</v>
      </c>
      <c r="M782" s="39" t="s">
        <v>1402</v>
      </c>
    </row>
    <row r="783" spans="1:14" ht="32.25" thickBot="1" x14ac:dyDescent="0.3">
      <c r="A783" s="64" t="s">
        <v>1450</v>
      </c>
      <c r="B783" s="65" t="s">
        <v>1451</v>
      </c>
      <c r="C783" s="33" t="s">
        <v>186</v>
      </c>
      <c r="D783" s="66">
        <v>17.7</v>
      </c>
      <c r="E783" s="66">
        <v>9.6999999999999993</v>
      </c>
      <c r="F783" s="66">
        <v>8</v>
      </c>
      <c r="G783" s="35">
        <f t="shared" si="31"/>
        <v>0.54802259887005644</v>
      </c>
      <c r="H783" s="33" t="s">
        <v>1406</v>
      </c>
      <c r="I783" s="36" t="s">
        <v>340</v>
      </c>
      <c r="J783" s="37">
        <v>4</v>
      </c>
      <c r="K783" s="62">
        <v>3</v>
      </c>
      <c r="L783" s="33" t="s">
        <v>1402</v>
      </c>
      <c r="M783" s="39" t="s">
        <v>1402</v>
      </c>
    </row>
    <row r="784" spans="1:14" ht="48" thickBot="1" x14ac:dyDescent="0.3">
      <c r="A784" s="64" t="s">
        <v>1452</v>
      </c>
      <c r="B784" s="65" t="s">
        <v>1453</v>
      </c>
      <c r="C784" s="33" t="s">
        <v>186</v>
      </c>
      <c r="D784" s="66">
        <v>18</v>
      </c>
      <c r="E784" s="66">
        <v>11.7</v>
      </c>
      <c r="F784" s="66">
        <v>6.2</v>
      </c>
      <c r="G784" s="35">
        <f t="shared" si="31"/>
        <v>0.64999999999999991</v>
      </c>
      <c r="H784" s="33" t="s">
        <v>1406</v>
      </c>
      <c r="I784" s="36" t="s">
        <v>340</v>
      </c>
      <c r="J784" s="37">
        <v>40</v>
      </c>
      <c r="K784" s="38">
        <v>40</v>
      </c>
      <c r="L784" s="33" t="s">
        <v>1402</v>
      </c>
      <c r="M784" s="39" t="s">
        <v>1402</v>
      </c>
    </row>
    <row r="785" spans="1:14" ht="95.25" thickBot="1" x14ac:dyDescent="0.3">
      <c r="A785" s="64" t="s">
        <v>1454</v>
      </c>
      <c r="B785" s="65" t="s">
        <v>1455</v>
      </c>
      <c r="C785" s="33" t="s">
        <v>186</v>
      </c>
      <c r="D785" s="66">
        <v>0.2</v>
      </c>
      <c r="E785" s="66">
        <v>0.2</v>
      </c>
      <c r="F785" s="66"/>
      <c r="G785" s="35">
        <f t="shared" si="31"/>
        <v>1</v>
      </c>
      <c r="H785" s="33" t="s">
        <v>1406</v>
      </c>
      <c r="I785" s="36" t="s">
        <v>340</v>
      </c>
      <c r="J785" s="37">
        <v>5</v>
      </c>
      <c r="K785" s="74">
        <v>1</v>
      </c>
      <c r="L785" s="33" t="s">
        <v>1402</v>
      </c>
      <c r="M785" s="39"/>
      <c r="N785" s="93"/>
    </row>
    <row r="786" spans="1:14" ht="32.25" thickBot="1" x14ac:dyDescent="0.3">
      <c r="A786" s="64" t="s">
        <v>1456</v>
      </c>
      <c r="B786" s="65" t="s">
        <v>1457</v>
      </c>
      <c r="C786" s="33" t="s">
        <v>186</v>
      </c>
      <c r="D786" s="66">
        <v>148.9</v>
      </c>
      <c r="E786" s="66">
        <v>145.5</v>
      </c>
      <c r="F786" s="66">
        <v>3.4</v>
      </c>
      <c r="G786" s="35">
        <f t="shared" si="31"/>
        <v>0.97716588314304897</v>
      </c>
      <c r="H786" s="33" t="s">
        <v>1431</v>
      </c>
      <c r="I786" s="36" t="s">
        <v>340</v>
      </c>
      <c r="J786" s="37">
        <v>33</v>
      </c>
      <c r="K786" s="38">
        <v>33</v>
      </c>
      <c r="L786" s="33" t="s">
        <v>1402</v>
      </c>
      <c r="M786" s="39" t="s">
        <v>1468</v>
      </c>
      <c r="N786" s="93"/>
    </row>
    <row r="787" spans="1:14" ht="63.75" thickBot="1" x14ac:dyDescent="0.3">
      <c r="A787" s="64" t="s">
        <v>1458</v>
      </c>
      <c r="B787" s="65" t="s">
        <v>1459</v>
      </c>
      <c r="C787" s="33" t="s">
        <v>186</v>
      </c>
      <c r="D787" s="66">
        <v>347.9</v>
      </c>
      <c r="E787" s="66">
        <v>347.9</v>
      </c>
      <c r="F787" s="66"/>
      <c r="G787" s="35">
        <f t="shared" si="31"/>
        <v>1</v>
      </c>
      <c r="H787" s="33" t="s">
        <v>1406</v>
      </c>
      <c r="I787" s="36" t="s">
        <v>340</v>
      </c>
      <c r="J787" s="37">
        <v>650</v>
      </c>
      <c r="K787" s="62">
        <v>456</v>
      </c>
      <c r="L787" s="33" t="s">
        <v>1402</v>
      </c>
      <c r="M787" s="39"/>
      <c r="N787" s="93"/>
    </row>
    <row r="788" spans="1:14" ht="63.75" thickBot="1" x14ac:dyDescent="0.3">
      <c r="A788" s="64" t="s">
        <v>1460</v>
      </c>
      <c r="B788" s="65" t="s">
        <v>1461</v>
      </c>
      <c r="C788" s="33" t="s">
        <v>186</v>
      </c>
      <c r="D788" s="66">
        <v>2.4</v>
      </c>
      <c r="E788" s="66">
        <v>2.4</v>
      </c>
      <c r="F788" s="66">
        <v>0</v>
      </c>
      <c r="G788" s="35">
        <f t="shared" si="31"/>
        <v>1</v>
      </c>
      <c r="H788" s="33" t="s">
        <v>776</v>
      </c>
      <c r="I788" s="36" t="s">
        <v>27</v>
      </c>
      <c r="J788" s="37">
        <v>100</v>
      </c>
      <c r="K788" s="38">
        <v>100</v>
      </c>
      <c r="L788" s="33" t="s">
        <v>1402</v>
      </c>
      <c r="M788" s="39"/>
      <c r="N788" s="93"/>
    </row>
    <row r="789" spans="1:14" ht="30" customHeight="1" x14ac:dyDescent="0.25">
      <c r="A789" s="151" t="s">
        <v>1462</v>
      </c>
      <c r="B789" s="154" t="s">
        <v>1463</v>
      </c>
      <c r="C789" s="33"/>
      <c r="D789" s="34">
        <f>SUM(D790:D792)</f>
        <v>7871.4</v>
      </c>
      <c r="E789" s="34">
        <f>SUM(E790:E792)</f>
        <v>7725.5</v>
      </c>
      <c r="F789" s="34">
        <f>SUM(F790:F792)</f>
        <v>145.9</v>
      </c>
      <c r="G789" s="35">
        <f t="shared" si="31"/>
        <v>0.98146454252102555</v>
      </c>
      <c r="H789" s="33" t="s">
        <v>1406</v>
      </c>
      <c r="I789" s="36" t="s">
        <v>340</v>
      </c>
      <c r="J789" s="37">
        <v>3650</v>
      </c>
      <c r="K789" s="62">
        <v>3610</v>
      </c>
      <c r="L789" s="33" t="s">
        <v>1402</v>
      </c>
      <c r="M789" s="39"/>
      <c r="N789" s="93"/>
    </row>
    <row r="790" spans="1:14" ht="16.5" thickBot="1" x14ac:dyDescent="0.3">
      <c r="A790" s="153"/>
      <c r="B790" s="156"/>
      <c r="C790" s="41"/>
      <c r="D790" s="42"/>
      <c r="E790" s="42"/>
      <c r="F790" s="42"/>
      <c r="G790" s="61"/>
      <c r="H790" s="41" t="s">
        <v>1431</v>
      </c>
      <c r="I790" s="43" t="s">
        <v>340</v>
      </c>
      <c r="J790" s="44">
        <v>33</v>
      </c>
      <c r="K790" s="47">
        <v>33</v>
      </c>
      <c r="L790" s="41"/>
      <c r="M790" s="45" t="s">
        <v>1468</v>
      </c>
      <c r="N790" s="93"/>
    </row>
    <row r="791" spans="1:14" ht="32.25" thickBot="1" x14ac:dyDescent="0.3">
      <c r="A791" s="64" t="s">
        <v>1464</v>
      </c>
      <c r="B791" s="65" t="s">
        <v>1465</v>
      </c>
      <c r="C791" s="33" t="s">
        <v>186</v>
      </c>
      <c r="D791" s="66">
        <v>7568.7</v>
      </c>
      <c r="E791" s="66">
        <v>7433.1</v>
      </c>
      <c r="F791" s="66">
        <v>135.6</v>
      </c>
      <c r="G791" s="35">
        <f t="shared" ref="G791:G807" si="32">SUM(E791/D791)</f>
        <v>0.98208410955646286</v>
      </c>
      <c r="H791" s="33" t="s">
        <v>1466</v>
      </c>
      <c r="I791" s="36" t="s">
        <v>18</v>
      </c>
      <c r="J791" s="37">
        <v>3650</v>
      </c>
      <c r="K791" s="62">
        <v>3610</v>
      </c>
      <c r="L791" s="33" t="s">
        <v>1402</v>
      </c>
      <c r="M791" s="39"/>
      <c r="N791" s="93"/>
    </row>
    <row r="792" spans="1:14" ht="32.25" thickBot="1" x14ac:dyDescent="0.3">
      <c r="A792" s="64" t="s">
        <v>1467</v>
      </c>
      <c r="B792" s="65" t="s">
        <v>1457</v>
      </c>
      <c r="C792" s="33" t="s">
        <v>186</v>
      </c>
      <c r="D792" s="66">
        <v>302.7</v>
      </c>
      <c r="E792" s="66">
        <v>292.39999999999998</v>
      </c>
      <c r="F792" s="66">
        <v>10.3</v>
      </c>
      <c r="G792" s="35">
        <f t="shared" si="32"/>
        <v>0.96597291047241485</v>
      </c>
      <c r="H792" s="33" t="s">
        <v>1468</v>
      </c>
      <c r="I792" s="36" t="s">
        <v>18</v>
      </c>
      <c r="J792" s="37">
        <v>33</v>
      </c>
      <c r="K792" s="38">
        <v>33</v>
      </c>
      <c r="L792" s="33" t="s">
        <v>1402</v>
      </c>
      <c r="M792" s="39"/>
      <c r="N792" s="93"/>
    </row>
    <row r="793" spans="1:14" ht="95.25" thickBot="1" x14ac:dyDescent="0.3">
      <c r="A793" s="64" t="s">
        <v>1469</v>
      </c>
      <c r="B793" s="65" t="s">
        <v>1470</v>
      </c>
      <c r="C793" s="33" t="s">
        <v>792</v>
      </c>
      <c r="D793" s="66">
        <v>0.7</v>
      </c>
      <c r="E793" s="66">
        <v>0.6</v>
      </c>
      <c r="F793" s="66">
        <v>0.1</v>
      </c>
      <c r="G793" s="35">
        <f t="shared" si="32"/>
        <v>0.85714285714285721</v>
      </c>
      <c r="H793" s="33" t="s">
        <v>1406</v>
      </c>
      <c r="I793" s="36" t="s">
        <v>340</v>
      </c>
      <c r="J793" s="37">
        <v>1</v>
      </c>
      <c r="K793" s="38">
        <v>1</v>
      </c>
      <c r="L793" s="33" t="s">
        <v>1402</v>
      </c>
      <c r="M793" s="39" t="s">
        <v>1402</v>
      </c>
    </row>
    <row r="794" spans="1:14" x14ac:dyDescent="0.25">
      <c r="A794" s="151" t="s">
        <v>1471</v>
      </c>
      <c r="B794" s="154" t="s">
        <v>1472</v>
      </c>
      <c r="C794" s="33"/>
      <c r="D794" s="34">
        <f>SUM(D795:D796)</f>
        <v>6</v>
      </c>
      <c r="E794" s="34">
        <f>SUM(E795:E796)</f>
        <v>6</v>
      </c>
      <c r="F794" s="34"/>
      <c r="G794" s="53">
        <f t="shared" si="32"/>
        <v>1</v>
      </c>
      <c r="H794" s="33" t="s">
        <v>1406</v>
      </c>
      <c r="I794" s="36" t="s">
        <v>340</v>
      </c>
      <c r="J794" s="37">
        <v>2</v>
      </c>
      <c r="K794" s="38">
        <v>2</v>
      </c>
      <c r="L794" s="33" t="s">
        <v>1402</v>
      </c>
      <c r="M794" s="39" t="s">
        <v>1402</v>
      </c>
    </row>
    <row r="795" spans="1:14" x14ac:dyDescent="0.25">
      <c r="A795" s="152"/>
      <c r="B795" s="155"/>
      <c r="C795" s="41" t="s">
        <v>37</v>
      </c>
      <c r="D795" s="42">
        <v>0.8</v>
      </c>
      <c r="E795" s="42">
        <v>0.8</v>
      </c>
      <c r="F795" s="42"/>
      <c r="G795" s="57">
        <f t="shared" si="32"/>
        <v>1</v>
      </c>
      <c r="H795" s="58"/>
      <c r="I795" s="43"/>
      <c r="J795" s="44"/>
      <c r="K795" s="44"/>
      <c r="L795" s="41"/>
      <c r="M795" s="45"/>
    </row>
    <row r="796" spans="1:14" ht="16.5" thickBot="1" x14ac:dyDescent="0.3">
      <c r="A796" s="153"/>
      <c r="B796" s="156"/>
      <c r="C796" s="41" t="s">
        <v>23</v>
      </c>
      <c r="D796" s="42">
        <v>5.2</v>
      </c>
      <c r="E796" s="42">
        <v>5.2</v>
      </c>
      <c r="F796" s="42"/>
      <c r="G796" s="61">
        <f t="shared" si="32"/>
        <v>1</v>
      </c>
      <c r="H796" s="41"/>
      <c r="I796" s="43"/>
      <c r="J796" s="44"/>
      <c r="K796" s="44"/>
      <c r="L796" s="41"/>
      <c r="M796" s="45"/>
    </row>
    <row r="797" spans="1:14" ht="32.25" thickBot="1" x14ac:dyDescent="0.3">
      <c r="A797" s="64" t="s">
        <v>1473</v>
      </c>
      <c r="B797" s="65" t="s">
        <v>1474</v>
      </c>
      <c r="C797" s="33"/>
      <c r="D797" s="34">
        <f>SUM(D798:D799)</f>
        <v>1438.1000000000001</v>
      </c>
      <c r="E797" s="34">
        <f>SUM(E798:E799)</f>
        <v>1306.7</v>
      </c>
      <c r="F797" s="34">
        <f>SUM(F798:F799)</f>
        <v>131.4</v>
      </c>
      <c r="G797" s="35">
        <f t="shared" si="32"/>
        <v>0.90862944162436543</v>
      </c>
      <c r="H797" s="33" t="s">
        <v>1406</v>
      </c>
      <c r="I797" s="36" t="s">
        <v>340</v>
      </c>
      <c r="J797" s="37">
        <v>4150</v>
      </c>
      <c r="K797" s="60">
        <v>6281</v>
      </c>
      <c r="L797" s="33" t="s">
        <v>1402</v>
      </c>
      <c r="M797" s="39"/>
      <c r="N797" s="93"/>
    </row>
    <row r="798" spans="1:14" ht="32.25" thickBot="1" x14ac:dyDescent="0.3">
      <c r="A798" s="64" t="s">
        <v>1475</v>
      </c>
      <c r="B798" s="65" t="s">
        <v>1476</v>
      </c>
      <c r="C798" s="33" t="s">
        <v>792</v>
      </c>
      <c r="D798" s="66">
        <v>1307.7</v>
      </c>
      <c r="E798" s="66">
        <v>1179.7</v>
      </c>
      <c r="F798" s="66">
        <v>128</v>
      </c>
      <c r="G798" s="35">
        <f t="shared" si="32"/>
        <v>0.90211822283398335</v>
      </c>
      <c r="H798" s="33" t="s">
        <v>1406</v>
      </c>
      <c r="I798" s="36" t="s">
        <v>340</v>
      </c>
      <c r="J798" s="37">
        <v>4800</v>
      </c>
      <c r="K798" s="60">
        <v>6281</v>
      </c>
      <c r="L798" s="33" t="s">
        <v>1402</v>
      </c>
      <c r="M798" s="39" t="s">
        <v>1905</v>
      </c>
      <c r="N798" s="93"/>
    </row>
    <row r="799" spans="1:14" ht="32.25" thickBot="1" x14ac:dyDescent="0.3">
      <c r="A799" s="64" t="s">
        <v>1477</v>
      </c>
      <c r="B799" s="65" t="s">
        <v>1478</v>
      </c>
      <c r="C799" s="33" t="s">
        <v>792</v>
      </c>
      <c r="D799" s="66">
        <v>130.4</v>
      </c>
      <c r="E799" s="66">
        <v>127</v>
      </c>
      <c r="F799" s="66">
        <v>3.4</v>
      </c>
      <c r="G799" s="35">
        <f t="shared" si="32"/>
        <v>0.97392638036809809</v>
      </c>
      <c r="H799" s="33" t="s">
        <v>1406</v>
      </c>
      <c r="I799" s="36" t="s">
        <v>340</v>
      </c>
      <c r="J799" s="37">
        <v>1100</v>
      </c>
      <c r="K799" s="60">
        <v>1382</v>
      </c>
      <c r="L799" s="33" t="s">
        <v>1402</v>
      </c>
      <c r="M799" s="39"/>
      <c r="N799" s="93"/>
    </row>
    <row r="800" spans="1:14" ht="90" customHeight="1" x14ac:dyDescent="0.25">
      <c r="A800" s="151" t="s">
        <v>1479</v>
      </c>
      <c r="B800" s="154" t="s">
        <v>1480</v>
      </c>
      <c r="C800" s="33"/>
      <c r="D800" s="34">
        <f>SUM(D801:D802)</f>
        <v>2216.6999999999998</v>
      </c>
      <c r="E800" s="34">
        <f>SUM(E801:E802)</f>
        <v>2215.8000000000002</v>
      </c>
      <c r="F800" s="34">
        <f>SUM(F801:F802)</f>
        <v>0.9</v>
      </c>
      <c r="G800" s="53">
        <f t="shared" si="32"/>
        <v>0.99959399106780367</v>
      </c>
      <c r="H800" s="33" t="s">
        <v>1481</v>
      </c>
      <c r="I800" s="36" t="s">
        <v>27</v>
      </c>
      <c r="J800" s="37">
        <v>100</v>
      </c>
      <c r="K800" s="38">
        <v>100</v>
      </c>
      <c r="L800" s="33" t="s">
        <v>1482</v>
      </c>
      <c r="M800" s="39"/>
    </row>
    <row r="801" spans="1:17" x14ac:dyDescent="0.25">
      <c r="A801" s="152"/>
      <c r="B801" s="155"/>
      <c r="C801" s="41" t="s">
        <v>23</v>
      </c>
      <c r="D801" s="42">
        <v>996.4</v>
      </c>
      <c r="E801" s="42">
        <v>995.5</v>
      </c>
      <c r="F801" s="42">
        <v>0.9</v>
      </c>
      <c r="G801" s="57">
        <f t="shared" si="32"/>
        <v>0.99909674829385786</v>
      </c>
      <c r="H801" s="58"/>
      <c r="I801" s="43"/>
      <c r="J801" s="44"/>
      <c r="K801" s="44"/>
      <c r="L801" s="41"/>
      <c r="M801" s="45"/>
    </row>
    <row r="802" spans="1:17" ht="16.5" thickBot="1" x14ac:dyDescent="0.3">
      <c r="A802" s="153"/>
      <c r="B802" s="156"/>
      <c r="C802" s="41" t="s">
        <v>37</v>
      </c>
      <c r="D802" s="42">
        <v>1220.3</v>
      </c>
      <c r="E802" s="42">
        <v>1220.3</v>
      </c>
      <c r="F802" s="42"/>
      <c r="G802" s="61">
        <f t="shared" si="32"/>
        <v>1</v>
      </c>
      <c r="H802" s="41"/>
      <c r="I802" s="43"/>
      <c r="J802" s="44"/>
      <c r="K802" s="44"/>
      <c r="L802" s="41"/>
      <c r="M802" s="45"/>
    </row>
    <row r="803" spans="1:17" ht="78.75" x14ac:dyDescent="0.25">
      <c r="A803" s="151" t="s">
        <v>1483</v>
      </c>
      <c r="B803" s="154" t="s">
        <v>1484</v>
      </c>
      <c r="C803" s="33"/>
      <c r="D803" s="34">
        <f>SUM(D804:D805)</f>
        <v>300</v>
      </c>
      <c r="E803" s="34">
        <f>SUM(E804:E805)</f>
        <v>295.89999999999998</v>
      </c>
      <c r="F803" s="34">
        <f>SUM(F804:F805)</f>
        <v>4.0999999999999996</v>
      </c>
      <c r="G803" s="53">
        <f t="shared" si="32"/>
        <v>0.98633333333333328</v>
      </c>
      <c r="H803" s="33" t="s">
        <v>1485</v>
      </c>
      <c r="I803" s="36" t="s">
        <v>27</v>
      </c>
      <c r="J803" s="37">
        <v>100</v>
      </c>
      <c r="K803" s="38">
        <v>100</v>
      </c>
      <c r="L803" s="33"/>
      <c r="M803" s="39"/>
    </row>
    <row r="804" spans="1:17" x14ac:dyDescent="0.25">
      <c r="A804" s="152"/>
      <c r="B804" s="155"/>
      <c r="C804" s="41" t="s">
        <v>189</v>
      </c>
      <c r="D804" s="42">
        <v>100</v>
      </c>
      <c r="E804" s="42">
        <v>95.9</v>
      </c>
      <c r="F804" s="42">
        <v>4.0999999999999996</v>
      </c>
      <c r="G804" s="57">
        <f t="shared" si="32"/>
        <v>0.95900000000000007</v>
      </c>
      <c r="H804" s="58"/>
      <c r="I804" s="43"/>
      <c r="J804" s="44"/>
      <c r="K804" s="44"/>
      <c r="L804" s="41"/>
      <c r="M804" s="45"/>
    </row>
    <row r="805" spans="1:17" ht="16.5" thickBot="1" x14ac:dyDescent="0.3">
      <c r="A805" s="153"/>
      <c r="B805" s="156"/>
      <c r="C805" s="41" t="s">
        <v>23</v>
      </c>
      <c r="D805" s="42">
        <v>200</v>
      </c>
      <c r="E805" s="42">
        <v>200</v>
      </c>
      <c r="F805" s="42"/>
      <c r="G805" s="61">
        <f t="shared" si="32"/>
        <v>1</v>
      </c>
      <c r="H805" s="41"/>
      <c r="I805" s="43"/>
      <c r="J805" s="44"/>
      <c r="K805" s="44"/>
      <c r="L805" s="41"/>
      <c r="M805" s="45"/>
    </row>
    <row r="806" spans="1:17" ht="32.25" thickBot="1" x14ac:dyDescent="0.3">
      <c r="A806" s="10" t="s">
        <v>1486</v>
      </c>
      <c r="B806" s="11" t="s">
        <v>1487</v>
      </c>
      <c r="C806" s="12"/>
      <c r="D806" s="13">
        <f>D807+D900+0.1</f>
        <v>19143.900000000001</v>
      </c>
      <c r="E806" s="13">
        <f>E807+E900-0.1</f>
        <v>17536.300000000003</v>
      </c>
      <c r="F806" s="13">
        <f>F807+F900</f>
        <v>1607.5</v>
      </c>
      <c r="G806" s="14">
        <f t="shared" si="32"/>
        <v>0.91602547025423253</v>
      </c>
      <c r="H806" s="126"/>
      <c r="I806" s="127"/>
      <c r="J806" s="127"/>
      <c r="K806" s="127"/>
      <c r="L806" s="127"/>
      <c r="M806" s="128"/>
      <c r="O806" s="23"/>
      <c r="P806" s="24" t="s">
        <v>1</v>
      </c>
      <c r="Q806" s="24" t="s">
        <v>1711</v>
      </c>
    </row>
    <row r="807" spans="1:17" ht="78.75" x14ac:dyDescent="0.25">
      <c r="A807" s="157" t="s">
        <v>1488</v>
      </c>
      <c r="B807" s="160" t="s">
        <v>1489</v>
      </c>
      <c r="C807" s="17"/>
      <c r="D807" s="18">
        <f>D808+D809+D810+D854+D876+D890+D896</f>
        <v>18695.500000000004</v>
      </c>
      <c r="E807" s="18">
        <f>E808+E809+E810+E854+E876+E890+E896-0.1</f>
        <v>17219.7</v>
      </c>
      <c r="F807" s="18">
        <f>F808+F809+F810+F854+F876+F890+F896-0.1</f>
        <v>1475.8</v>
      </c>
      <c r="G807" s="19">
        <f t="shared" si="32"/>
        <v>0.92106121794014584</v>
      </c>
      <c r="H807" s="17" t="s">
        <v>1490</v>
      </c>
      <c r="I807" s="20" t="s">
        <v>27</v>
      </c>
      <c r="J807" s="21">
        <v>80</v>
      </c>
      <c r="K807" s="21">
        <v>100</v>
      </c>
      <c r="L807" s="17" t="s">
        <v>1491</v>
      </c>
      <c r="M807" s="22"/>
      <c r="O807" s="30"/>
      <c r="P807" s="31" t="s">
        <v>1712</v>
      </c>
      <c r="Q807" s="32">
        <v>27</v>
      </c>
    </row>
    <row r="808" spans="1:17" ht="31.5" x14ac:dyDescent="0.25">
      <c r="A808" s="158"/>
      <c r="B808" s="161"/>
      <c r="C808" s="67"/>
      <c r="D808" s="68"/>
      <c r="E808" s="68"/>
      <c r="F808" s="68"/>
      <c r="G808" s="68"/>
      <c r="H808" s="67" t="s">
        <v>1492</v>
      </c>
      <c r="I808" s="69" t="s">
        <v>18</v>
      </c>
      <c r="J808" s="70">
        <v>11000</v>
      </c>
      <c r="K808" s="70">
        <v>26730</v>
      </c>
      <c r="L808" s="67"/>
      <c r="M808" s="71"/>
      <c r="O808" s="40"/>
      <c r="P808" s="31" t="s">
        <v>1713</v>
      </c>
      <c r="Q808" s="32">
        <v>1</v>
      </c>
    </row>
    <row r="809" spans="1:17" ht="32.25" thickBot="1" x14ac:dyDescent="0.3">
      <c r="A809" s="159"/>
      <c r="B809" s="162"/>
      <c r="C809" s="67"/>
      <c r="D809" s="68"/>
      <c r="E809" s="68"/>
      <c r="F809" s="68"/>
      <c r="G809" s="68"/>
      <c r="H809" s="67" t="s">
        <v>1493</v>
      </c>
      <c r="I809" s="69" t="s">
        <v>18</v>
      </c>
      <c r="J809" s="70">
        <v>24</v>
      </c>
      <c r="K809" s="70">
        <v>19</v>
      </c>
      <c r="L809" s="67"/>
      <c r="M809" s="71"/>
      <c r="O809" s="1"/>
      <c r="P809" s="2" t="s">
        <v>1714</v>
      </c>
      <c r="Q809" s="48">
        <v>5</v>
      </c>
    </row>
    <row r="810" spans="1:17" ht="48" thickBot="1" x14ac:dyDescent="0.3">
      <c r="A810" s="25" t="s">
        <v>1494</v>
      </c>
      <c r="B810" s="26" t="s">
        <v>1495</v>
      </c>
      <c r="C810" s="27"/>
      <c r="D810" s="28">
        <f>D811+D838+D844+D846+D849+D852+D853</f>
        <v>10357.400000000001</v>
      </c>
      <c r="E810" s="28">
        <f>E811+E838+E844+E846+E849+E852+E853</f>
        <v>9546</v>
      </c>
      <c r="F810" s="28">
        <f>F811+F838+F844+F846+F849+F852+F853+0.1</f>
        <v>811.49999999999989</v>
      </c>
      <c r="G810" s="29">
        <f>SUM(E810/D810)</f>
        <v>0.9216598760306639</v>
      </c>
      <c r="H810" s="129"/>
      <c r="I810" s="130"/>
      <c r="J810" s="130"/>
      <c r="K810" s="130"/>
      <c r="L810" s="130"/>
      <c r="M810" s="131"/>
      <c r="O810" s="50"/>
      <c r="P810" s="31" t="s">
        <v>1716</v>
      </c>
      <c r="Q810" s="48">
        <v>3</v>
      </c>
    </row>
    <row r="811" spans="1:17" ht="94.5" x14ac:dyDescent="0.25">
      <c r="A811" s="151" t="s">
        <v>1496</v>
      </c>
      <c r="B811" s="154" t="s">
        <v>1497</v>
      </c>
      <c r="C811" s="33"/>
      <c r="D811" s="34">
        <f>D812+D813+D814+D815+D816+D817+D818+D819+D820+D821+D822+D828+D829+D830+D831+D832+D835</f>
        <v>7957.2000000000007</v>
      </c>
      <c r="E811" s="34">
        <f>E812+E813+E814+E815+E816+E817+E818+E819+E820+E821+E822+E828+E829+E830+E831+E832+E835</f>
        <v>7285.5</v>
      </c>
      <c r="F811" s="34">
        <f>F812+F813+F814+F815+F816+F817+F818+F819+F820+F821+F822+F828+F829+F830+F831+F832+F835-0.1</f>
        <v>671.69999999999993</v>
      </c>
      <c r="G811" s="35">
        <f>SUM(E811/D811)</f>
        <v>0.91558588448197853</v>
      </c>
      <c r="H811" s="33" t="s">
        <v>1498</v>
      </c>
      <c r="I811" s="36" t="s">
        <v>340</v>
      </c>
      <c r="J811" s="37">
        <v>181</v>
      </c>
      <c r="K811" s="60">
        <v>184</v>
      </c>
      <c r="L811" s="33" t="s">
        <v>1499</v>
      </c>
      <c r="M811" s="39"/>
      <c r="O811" s="52"/>
      <c r="P811" s="31" t="s">
        <v>1717</v>
      </c>
      <c r="Q811" s="48">
        <v>5</v>
      </c>
    </row>
    <row r="812" spans="1:17" ht="63" x14ac:dyDescent="0.25">
      <c r="A812" s="152"/>
      <c r="B812" s="155"/>
      <c r="C812" s="41"/>
      <c r="D812" s="42"/>
      <c r="E812" s="42"/>
      <c r="F812" s="42"/>
      <c r="G812" s="42"/>
      <c r="H812" s="41" t="s">
        <v>1500</v>
      </c>
      <c r="I812" s="43" t="s">
        <v>340</v>
      </c>
      <c r="J812" s="44">
        <v>85</v>
      </c>
      <c r="K812" s="63">
        <v>86</v>
      </c>
      <c r="L812" s="41" t="s">
        <v>1501</v>
      </c>
      <c r="M812" s="45"/>
      <c r="O812" s="23"/>
      <c r="P812" s="55" t="s">
        <v>1715</v>
      </c>
      <c r="Q812" s="48">
        <f>+SUM(Q807:Q811)</f>
        <v>41</v>
      </c>
    </row>
    <row r="813" spans="1:17" ht="135.75" customHeight="1" x14ac:dyDescent="0.25">
      <c r="A813" s="152"/>
      <c r="B813" s="155"/>
      <c r="C813" s="41"/>
      <c r="D813" s="42"/>
      <c r="E813" s="42"/>
      <c r="F813" s="42"/>
      <c r="G813" s="42"/>
      <c r="H813" s="41" t="s">
        <v>1502</v>
      </c>
      <c r="I813" s="43" t="s">
        <v>27</v>
      </c>
      <c r="J813" s="44">
        <v>100</v>
      </c>
      <c r="K813" s="47">
        <v>100</v>
      </c>
      <c r="L813" s="41" t="s">
        <v>1718</v>
      </c>
      <c r="M813" s="45" t="s">
        <v>1719</v>
      </c>
    </row>
    <row r="814" spans="1:17" ht="275.25" customHeight="1" x14ac:dyDescent="0.25">
      <c r="A814" s="152"/>
      <c r="B814" s="155"/>
      <c r="C814" s="41"/>
      <c r="D814" s="42"/>
      <c r="E814" s="42"/>
      <c r="F814" s="42"/>
      <c r="G814" s="42"/>
      <c r="H814" s="41" t="s">
        <v>1503</v>
      </c>
      <c r="I814" s="43" t="s">
        <v>340</v>
      </c>
      <c r="J814" s="44">
        <v>260</v>
      </c>
      <c r="K814" s="47">
        <v>260</v>
      </c>
      <c r="L814" s="94" t="s">
        <v>1720</v>
      </c>
      <c r="M814" s="45"/>
    </row>
    <row r="815" spans="1:17" ht="31.5" x14ac:dyDescent="0.25">
      <c r="A815" s="152"/>
      <c r="B815" s="155"/>
      <c r="C815" s="41"/>
      <c r="D815" s="42">
        <v>0</v>
      </c>
      <c r="E815" s="42">
        <v>0</v>
      </c>
      <c r="F815" s="42">
        <v>0</v>
      </c>
      <c r="G815" s="42"/>
      <c r="H815" s="41" t="s">
        <v>1504</v>
      </c>
      <c r="I815" s="43" t="s">
        <v>18</v>
      </c>
      <c r="J815" s="44">
        <v>40</v>
      </c>
      <c r="K815" s="63">
        <v>41</v>
      </c>
      <c r="L815" s="41"/>
      <c r="M815" s="45"/>
    </row>
    <row r="816" spans="1:17" ht="31.5" x14ac:dyDescent="0.25">
      <c r="A816" s="152"/>
      <c r="B816" s="155"/>
      <c r="C816" s="41"/>
      <c r="D816" s="42"/>
      <c r="E816" s="42"/>
      <c r="F816" s="42"/>
      <c r="G816" s="42"/>
      <c r="H816" s="41" t="s">
        <v>1505</v>
      </c>
      <c r="I816" s="43" t="s">
        <v>18</v>
      </c>
      <c r="J816" s="44">
        <v>3</v>
      </c>
      <c r="K816" s="72">
        <v>2</v>
      </c>
      <c r="L816" s="41" t="s">
        <v>1506</v>
      </c>
      <c r="M816" s="45"/>
    </row>
    <row r="817" spans="1:13" ht="31.5" x14ac:dyDescent="0.25">
      <c r="A817" s="152"/>
      <c r="B817" s="155"/>
      <c r="C817" s="41"/>
      <c r="D817" s="42"/>
      <c r="E817" s="42"/>
      <c r="F817" s="42"/>
      <c r="G817" s="42"/>
      <c r="H817" s="41" t="s">
        <v>1507</v>
      </c>
      <c r="I817" s="43" t="s">
        <v>18</v>
      </c>
      <c r="J817" s="44">
        <v>5</v>
      </c>
      <c r="K817" s="72">
        <v>4</v>
      </c>
      <c r="L817" s="41"/>
      <c r="M817" s="45"/>
    </row>
    <row r="818" spans="1:13" ht="31.5" x14ac:dyDescent="0.25">
      <c r="A818" s="152"/>
      <c r="B818" s="155"/>
      <c r="C818" s="41"/>
      <c r="D818" s="42"/>
      <c r="E818" s="42"/>
      <c r="F818" s="42"/>
      <c r="G818" s="42"/>
      <c r="H818" s="41" t="s">
        <v>1508</v>
      </c>
      <c r="I818" s="43" t="s">
        <v>18</v>
      </c>
      <c r="J818" s="44">
        <v>1</v>
      </c>
      <c r="K818" s="47">
        <v>1</v>
      </c>
      <c r="L818" s="41"/>
      <c r="M818" s="45"/>
    </row>
    <row r="819" spans="1:13" ht="31.5" x14ac:dyDescent="0.25">
      <c r="A819" s="152"/>
      <c r="B819" s="155"/>
      <c r="C819" s="41"/>
      <c r="D819" s="42"/>
      <c r="E819" s="42"/>
      <c r="F819" s="42"/>
      <c r="G819" s="42"/>
      <c r="H819" s="41" t="s">
        <v>1509</v>
      </c>
      <c r="I819" s="43" t="s">
        <v>18</v>
      </c>
      <c r="J819" s="44">
        <v>300</v>
      </c>
      <c r="K819" s="63">
        <v>320</v>
      </c>
      <c r="L819" s="41"/>
      <c r="M819" s="45"/>
    </row>
    <row r="820" spans="1:13" ht="78.75" x14ac:dyDescent="0.25">
      <c r="A820" s="152"/>
      <c r="B820" s="155"/>
      <c r="C820" s="41"/>
      <c r="D820" s="42"/>
      <c r="E820" s="42"/>
      <c r="F820" s="42"/>
      <c r="G820" s="42"/>
      <c r="H820" s="41" t="s">
        <v>1510</v>
      </c>
      <c r="I820" s="43" t="s">
        <v>340</v>
      </c>
      <c r="J820" s="44">
        <v>15000</v>
      </c>
      <c r="K820" s="63">
        <v>17081</v>
      </c>
      <c r="L820" s="41"/>
      <c r="M820" s="45"/>
    </row>
    <row r="821" spans="1:13" ht="79.5" thickBot="1" x14ac:dyDescent="0.3">
      <c r="A821" s="153"/>
      <c r="B821" s="156"/>
      <c r="C821" s="41"/>
      <c r="D821" s="42"/>
      <c r="E821" s="42"/>
      <c r="F821" s="42"/>
      <c r="G821" s="42"/>
      <c r="H821" s="41" t="s">
        <v>1511</v>
      </c>
      <c r="I821" s="43" t="s">
        <v>340</v>
      </c>
      <c r="J821" s="44">
        <v>2500</v>
      </c>
      <c r="K821" s="72">
        <v>1683</v>
      </c>
      <c r="L821" s="41"/>
      <c r="M821" s="45"/>
    </row>
    <row r="822" spans="1:13" ht="31.5" x14ac:dyDescent="0.25">
      <c r="A822" s="151" t="s">
        <v>1512</v>
      </c>
      <c r="B822" s="154" t="s">
        <v>1513</v>
      </c>
      <c r="C822" s="33"/>
      <c r="D822" s="34">
        <f>SUM(D823:D827)</f>
        <v>6033.8</v>
      </c>
      <c r="E822" s="34">
        <f>SUM(E823:E827)</f>
        <v>5914.4</v>
      </c>
      <c r="F822" s="34">
        <f>SUM(F823:F827)+0.1</f>
        <v>119.5</v>
      </c>
      <c r="G822" s="53">
        <f t="shared" ref="G822:G832" si="33">SUM(E822/D822)</f>
        <v>0.98021147535549724</v>
      </c>
      <c r="H822" s="33" t="s">
        <v>1498</v>
      </c>
      <c r="I822" s="36" t="s">
        <v>340</v>
      </c>
      <c r="J822" s="37">
        <v>181</v>
      </c>
      <c r="K822" s="60">
        <v>184</v>
      </c>
      <c r="L822" s="33"/>
      <c r="M822" s="39"/>
    </row>
    <row r="823" spans="1:13" ht="47.25" x14ac:dyDescent="0.25">
      <c r="A823" s="152"/>
      <c r="B823" s="155"/>
      <c r="C823" s="41" t="s">
        <v>183</v>
      </c>
      <c r="D823" s="42">
        <v>4</v>
      </c>
      <c r="E823" s="42">
        <v>3.6</v>
      </c>
      <c r="F823" s="42">
        <v>0.4</v>
      </c>
      <c r="G823" s="57">
        <f t="shared" si="33"/>
        <v>0.9</v>
      </c>
      <c r="H823" s="58" t="s">
        <v>1514</v>
      </c>
      <c r="I823" s="43" t="s">
        <v>340</v>
      </c>
      <c r="J823" s="44">
        <v>85</v>
      </c>
      <c r="K823" s="63">
        <v>86</v>
      </c>
      <c r="L823" s="41"/>
      <c r="M823" s="45"/>
    </row>
    <row r="824" spans="1:13" x14ac:dyDescent="0.25">
      <c r="A824" s="152"/>
      <c r="B824" s="155"/>
      <c r="C824" s="41" t="s">
        <v>78</v>
      </c>
      <c r="D824" s="42">
        <v>44.3</v>
      </c>
      <c r="E824" s="42">
        <v>44.3</v>
      </c>
      <c r="F824" s="42"/>
      <c r="G824" s="57">
        <f t="shared" si="33"/>
        <v>1</v>
      </c>
      <c r="H824" s="58"/>
      <c r="I824" s="43"/>
      <c r="J824" s="44"/>
      <c r="K824" s="44"/>
      <c r="L824" s="41"/>
      <c r="M824" s="45"/>
    </row>
    <row r="825" spans="1:13" x14ac:dyDescent="0.25">
      <c r="A825" s="152"/>
      <c r="B825" s="155"/>
      <c r="C825" s="41" t="s">
        <v>23</v>
      </c>
      <c r="D825" s="42">
        <v>5883</v>
      </c>
      <c r="E825" s="42">
        <v>5807.8</v>
      </c>
      <c r="F825" s="42">
        <v>75.2</v>
      </c>
      <c r="G825" s="57">
        <f t="shared" si="33"/>
        <v>0.9872174060853306</v>
      </c>
      <c r="H825" s="58"/>
      <c r="I825" s="43"/>
      <c r="J825" s="44"/>
      <c r="K825" s="44"/>
      <c r="L825" s="41"/>
      <c r="M825" s="45"/>
    </row>
    <row r="826" spans="1:13" x14ac:dyDescent="0.25">
      <c r="A826" s="152"/>
      <c r="B826" s="155"/>
      <c r="C826" s="41" t="s">
        <v>208</v>
      </c>
      <c r="D826" s="42">
        <v>0.5</v>
      </c>
      <c r="E826" s="42">
        <v>0.3</v>
      </c>
      <c r="F826" s="42">
        <v>0.2</v>
      </c>
      <c r="G826" s="57">
        <f t="shared" si="33"/>
        <v>0.6</v>
      </c>
      <c r="H826" s="58"/>
      <c r="I826" s="43"/>
      <c r="J826" s="44"/>
      <c r="K826" s="44"/>
      <c r="L826" s="41"/>
      <c r="M826" s="45"/>
    </row>
    <row r="827" spans="1:13" ht="16.5" thickBot="1" x14ac:dyDescent="0.3">
      <c r="A827" s="153"/>
      <c r="B827" s="156"/>
      <c r="C827" s="41" t="s">
        <v>37</v>
      </c>
      <c r="D827" s="42">
        <v>102</v>
      </c>
      <c r="E827" s="42">
        <v>58.4</v>
      </c>
      <c r="F827" s="42">
        <v>43.6</v>
      </c>
      <c r="G827" s="61">
        <f t="shared" si="33"/>
        <v>0.5725490196078431</v>
      </c>
      <c r="H827" s="41"/>
      <c r="I827" s="43"/>
      <c r="J827" s="44"/>
      <c r="K827" s="44"/>
      <c r="L827" s="41"/>
      <c r="M827" s="45"/>
    </row>
    <row r="828" spans="1:13" ht="32.25" thickBot="1" x14ac:dyDescent="0.3">
      <c r="A828" s="64" t="s">
        <v>1515</v>
      </c>
      <c r="B828" s="65" t="s">
        <v>1516</v>
      </c>
      <c r="C828" s="33" t="s">
        <v>23</v>
      </c>
      <c r="D828" s="66">
        <v>119.3</v>
      </c>
      <c r="E828" s="66">
        <v>113.8</v>
      </c>
      <c r="F828" s="66">
        <v>5.5</v>
      </c>
      <c r="G828" s="35">
        <f t="shared" si="33"/>
        <v>0.95389773679798828</v>
      </c>
      <c r="H828" s="33" t="s">
        <v>1517</v>
      </c>
      <c r="I828" s="36" t="s">
        <v>27</v>
      </c>
      <c r="J828" s="37">
        <v>100</v>
      </c>
      <c r="K828" s="38">
        <v>100</v>
      </c>
      <c r="L828" s="33" t="s">
        <v>1518</v>
      </c>
      <c r="M828" s="39"/>
    </row>
    <row r="829" spans="1:13" ht="48" thickBot="1" x14ac:dyDescent="0.3">
      <c r="A829" s="64" t="s">
        <v>1519</v>
      </c>
      <c r="B829" s="65" t="s">
        <v>1520</v>
      </c>
      <c r="C829" s="33" t="s">
        <v>23</v>
      </c>
      <c r="D829" s="66">
        <v>656.5</v>
      </c>
      <c r="E829" s="66">
        <v>640.70000000000005</v>
      </c>
      <c r="F829" s="66">
        <v>15.8</v>
      </c>
      <c r="G829" s="35">
        <f t="shared" si="33"/>
        <v>0.97593297791317601</v>
      </c>
      <c r="H829" s="33" t="s">
        <v>1517</v>
      </c>
      <c r="I829" s="36" t="s">
        <v>27</v>
      </c>
      <c r="J829" s="37">
        <v>100</v>
      </c>
      <c r="K829" s="38">
        <v>100</v>
      </c>
      <c r="L829" s="33" t="s">
        <v>1518</v>
      </c>
      <c r="M829" s="39"/>
    </row>
    <row r="830" spans="1:13" ht="48" thickBot="1" x14ac:dyDescent="0.3">
      <c r="A830" s="64" t="s">
        <v>1521</v>
      </c>
      <c r="B830" s="65" t="s">
        <v>1522</v>
      </c>
      <c r="C830" s="33" t="s">
        <v>23</v>
      </c>
      <c r="D830" s="66">
        <v>200</v>
      </c>
      <c r="E830" s="66">
        <v>52.5</v>
      </c>
      <c r="F830" s="66">
        <v>147.5</v>
      </c>
      <c r="G830" s="35">
        <f t="shared" si="33"/>
        <v>0.26250000000000001</v>
      </c>
      <c r="H830" s="33" t="s">
        <v>1517</v>
      </c>
      <c r="I830" s="36" t="s">
        <v>27</v>
      </c>
      <c r="J830" s="37">
        <v>100</v>
      </c>
      <c r="K830" s="38">
        <v>100</v>
      </c>
      <c r="L830" s="33" t="s">
        <v>1518</v>
      </c>
      <c r="M830" s="39"/>
    </row>
    <row r="831" spans="1:13" ht="111" thickBot="1" x14ac:dyDescent="0.3">
      <c r="A831" s="64" t="s">
        <v>1523</v>
      </c>
      <c r="B831" s="65" t="s">
        <v>1524</v>
      </c>
      <c r="C831" s="33" t="s">
        <v>23</v>
      </c>
      <c r="D831" s="66">
        <v>646</v>
      </c>
      <c r="E831" s="66">
        <v>317.60000000000002</v>
      </c>
      <c r="F831" s="66">
        <v>328.4</v>
      </c>
      <c r="G831" s="35">
        <f t="shared" si="33"/>
        <v>0.49164086687306507</v>
      </c>
      <c r="H831" s="33" t="s">
        <v>1502</v>
      </c>
      <c r="I831" s="36" t="s">
        <v>27</v>
      </c>
      <c r="J831" s="37">
        <v>100</v>
      </c>
      <c r="K831" s="38">
        <v>100</v>
      </c>
      <c r="L831" s="94" t="s">
        <v>1721</v>
      </c>
      <c r="M831" s="81" t="s">
        <v>1722</v>
      </c>
    </row>
    <row r="832" spans="1:13" ht="78.75" x14ac:dyDescent="0.25">
      <c r="A832" s="151" t="s">
        <v>1525</v>
      </c>
      <c r="B832" s="154" t="s">
        <v>1526</v>
      </c>
      <c r="C832" s="33" t="s">
        <v>23</v>
      </c>
      <c r="D832" s="34">
        <f>SUM(D833:D834)+73</f>
        <v>73</v>
      </c>
      <c r="E832" s="34">
        <f>SUM(E833:E834)+49.2</f>
        <v>49.2</v>
      </c>
      <c r="F832" s="34">
        <f>SUM(F833:F834)+23.8</f>
        <v>23.8</v>
      </c>
      <c r="G832" s="35">
        <f t="shared" si="33"/>
        <v>0.67397260273972603</v>
      </c>
      <c r="H832" s="33" t="s">
        <v>1527</v>
      </c>
      <c r="I832" s="36" t="s">
        <v>340</v>
      </c>
      <c r="J832" s="37">
        <v>15000</v>
      </c>
      <c r="K832" s="60">
        <v>17081</v>
      </c>
      <c r="L832" s="33"/>
      <c r="M832" s="39"/>
    </row>
    <row r="833" spans="1:13" ht="78.75" x14ac:dyDescent="0.25">
      <c r="A833" s="152"/>
      <c r="B833" s="155"/>
      <c r="C833" s="41"/>
      <c r="D833" s="42"/>
      <c r="E833" s="42"/>
      <c r="F833" s="42"/>
      <c r="G833" s="42"/>
      <c r="H833" s="41" t="s">
        <v>1511</v>
      </c>
      <c r="I833" s="43" t="s">
        <v>340</v>
      </c>
      <c r="J833" s="44">
        <v>2500</v>
      </c>
      <c r="K833" s="72">
        <v>1863</v>
      </c>
      <c r="L833" s="41"/>
      <c r="M833" s="45"/>
    </row>
    <row r="834" spans="1:13" ht="48" thickBot="1" x14ac:dyDescent="0.3">
      <c r="A834" s="153"/>
      <c r="B834" s="156"/>
      <c r="C834" s="41"/>
      <c r="D834" s="42"/>
      <c r="E834" s="42"/>
      <c r="F834" s="42"/>
      <c r="G834" s="42"/>
      <c r="H834" s="41" t="s">
        <v>1528</v>
      </c>
      <c r="I834" s="43" t="s">
        <v>27</v>
      </c>
      <c r="J834" s="44">
        <v>100</v>
      </c>
      <c r="K834" s="47">
        <v>100</v>
      </c>
      <c r="L834" s="41" t="s">
        <v>1518</v>
      </c>
      <c r="M834" s="45"/>
    </row>
    <row r="835" spans="1:13" ht="31.5" x14ac:dyDescent="0.25">
      <c r="A835" s="151" t="s">
        <v>1529</v>
      </c>
      <c r="B835" s="154" t="s">
        <v>1530</v>
      </c>
      <c r="C835" s="33"/>
      <c r="D835" s="34">
        <f>SUM(D836:D837)</f>
        <v>228.6</v>
      </c>
      <c r="E835" s="34">
        <f>SUM(E836:E837)</f>
        <v>197.3</v>
      </c>
      <c r="F835" s="34">
        <f>SUM(F836:F837)</f>
        <v>31.3</v>
      </c>
      <c r="G835" s="53">
        <f>SUM(E835/D835)</f>
        <v>0.86307961504811903</v>
      </c>
      <c r="H835" s="33" t="s">
        <v>1504</v>
      </c>
      <c r="I835" s="36" t="s">
        <v>18</v>
      </c>
      <c r="J835" s="37">
        <v>40</v>
      </c>
      <c r="K835" s="60">
        <v>41</v>
      </c>
      <c r="L835" s="33"/>
      <c r="M835" s="39"/>
    </row>
    <row r="836" spans="1:13" ht="31.5" x14ac:dyDescent="0.25">
      <c r="A836" s="152"/>
      <c r="B836" s="155"/>
      <c r="C836" s="41" t="s">
        <v>37</v>
      </c>
      <c r="D836" s="42">
        <v>2</v>
      </c>
      <c r="E836" s="42">
        <v>2</v>
      </c>
      <c r="F836" s="42"/>
      <c r="G836" s="57">
        <f>SUM(E836/D836)</f>
        <v>1</v>
      </c>
      <c r="H836" s="58" t="s">
        <v>1531</v>
      </c>
      <c r="I836" s="43" t="s">
        <v>18</v>
      </c>
      <c r="J836" s="44">
        <v>5</v>
      </c>
      <c r="K836" s="72">
        <v>4</v>
      </c>
      <c r="L836" s="41"/>
      <c r="M836" s="45"/>
    </row>
    <row r="837" spans="1:13" ht="16.5" thickBot="1" x14ac:dyDescent="0.3">
      <c r="A837" s="153"/>
      <c r="B837" s="156"/>
      <c r="C837" s="41" t="s">
        <v>23</v>
      </c>
      <c r="D837" s="42">
        <v>226.6</v>
      </c>
      <c r="E837" s="42">
        <v>195.3</v>
      </c>
      <c r="F837" s="42">
        <v>31.3</v>
      </c>
      <c r="G837" s="61">
        <f>SUM(E837/D837)</f>
        <v>0.86187113857016773</v>
      </c>
      <c r="H837" s="41"/>
      <c r="I837" s="43"/>
      <c r="J837" s="44"/>
      <c r="K837" s="44"/>
      <c r="L837" s="41"/>
      <c r="M837" s="45"/>
    </row>
    <row r="838" spans="1:13" ht="75" customHeight="1" x14ac:dyDescent="0.25">
      <c r="A838" s="151" t="s">
        <v>1532</v>
      </c>
      <c r="B838" s="154" t="s">
        <v>1533</v>
      </c>
      <c r="C838" s="33"/>
      <c r="D838" s="34">
        <f>SUM(D839:D843)</f>
        <v>631.79999999999995</v>
      </c>
      <c r="E838" s="34">
        <f>SUM(E839:E843)</f>
        <v>621.4</v>
      </c>
      <c r="F838" s="34">
        <f>SUM(F839:F843)</f>
        <v>10.4</v>
      </c>
      <c r="G838" s="35">
        <f>SUM(E838/D838)</f>
        <v>0.98353909465020584</v>
      </c>
      <c r="H838" s="33" t="s">
        <v>1534</v>
      </c>
      <c r="I838" s="36" t="s">
        <v>340</v>
      </c>
      <c r="J838" s="37">
        <v>8</v>
      </c>
      <c r="K838" s="38">
        <v>8</v>
      </c>
      <c r="L838" s="33"/>
      <c r="M838" s="39"/>
    </row>
    <row r="839" spans="1:13" ht="47.25" x14ac:dyDescent="0.25">
      <c r="A839" s="152"/>
      <c r="B839" s="155"/>
      <c r="C839" s="41"/>
      <c r="D839" s="42"/>
      <c r="E839" s="42"/>
      <c r="F839" s="42"/>
      <c r="G839" s="42"/>
      <c r="H839" s="41" t="s">
        <v>1535</v>
      </c>
      <c r="I839" s="43" t="s">
        <v>27</v>
      </c>
      <c r="J839" s="44">
        <v>100</v>
      </c>
      <c r="K839" s="47">
        <v>100</v>
      </c>
      <c r="L839" s="41"/>
      <c r="M839" s="45"/>
    </row>
    <row r="840" spans="1:13" ht="48" thickBot="1" x14ac:dyDescent="0.3">
      <c r="A840" s="153"/>
      <c r="B840" s="156"/>
      <c r="C840" s="41"/>
      <c r="D840" s="42"/>
      <c r="E840" s="42"/>
      <c r="F840" s="42"/>
      <c r="G840" s="42"/>
      <c r="H840" s="41" t="s">
        <v>1536</v>
      </c>
      <c r="I840" s="43" t="s">
        <v>27</v>
      </c>
      <c r="J840" s="44">
        <v>100</v>
      </c>
      <c r="K840" s="47">
        <v>100</v>
      </c>
      <c r="L840" s="41"/>
      <c r="M840" s="45"/>
    </row>
    <row r="841" spans="1:13" ht="32.25" thickBot="1" x14ac:dyDescent="0.3">
      <c r="A841" s="64" t="s">
        <v>1537</v>
      </c>
      <c r="B841" s="65" t="s">
        <v>1538</v>
      </c>
      <c r="C841" s="33" t="s">
        <v>23</v>
      </c>
      <c r="D841" s="66">
        <v>374.8</v>
      </c>
      <c r="E841" s="66">
        <v>368.1</v>
      </c>
      <c r="F841" s="66">
        <v>6.7</v>
      </c>
      <c r="G841" s="35">
        <f>SUM(E841/D841)</f>
        <v>0.98212379935965854</v>
      </c>
      <c r="H841" s="33" t="s">
        <v>1539</v>
      </c>
      <c r="I841" s="36" t="s">
        <v>27</v>
      </c>
      <c r="J841" s="37">
        <v>100</v>
      </c>
      <c r="K841" s="38">
        <v>100</v>
      </c>
      <c r="L841" s="33"/>
      <c r="M841" s="39"/>
    </row>
    <row r="842" spans="1:13" ht="32.25" thickBot="1" x14ac:dyDescent="0.3">
      <c r="A842" s="64" t="s">
        <v>1540</v>
      </c>
      <c r="B842" s="65" t="s">
        <v>1541</v>
      </c>
      <c r="C842" s="33" t="s">
        <v>23</v>
      </c>
      <c r="D842" s="66">
        <v>14.5</v>
      </c>
      <c r="E842" s="66">
        <v>14.2</v>
      </c>
      <c r="F842" s="66">
        <v>0.3</v>
      </c>
      <c r="G842" s="35">
        <f>SUM(E842/D842)</f>
        <v>0.97931034482758617</v>
      </c>
      <c r="H842" s="33" t="s">
        <v>776</v>
      </c>
      <c r="I842" s="36" t="s">
        <v>27</v>
      </c>
      <c r="J842" s="37">
        <v>100</v>
      </c>
      <c r="K842" s="38">
        <v>100</v>
      </c>
      <c r="L842" s="33" t="s">
        <v>1542</v>
      </c>
      <c r="M842" s="39"/>
    </row>
    <row r="843" spans="1:13" ht="48" thickBot="1" x14ac:dyDescent="0.3">
      <c r="A843" s="64" t="s">
        <v>1543</v>
      </c>
      <c r="B843" s="65" t="s">
        <v>1544</v>
      </c>
      <c r="C843" s="33" t="s">
        <v>23</v>
      </c>
      <c r="D843" s="66">
        <v>242.5</v>
      </c>
      <c r="E843" s="66">
        <v>239.1</v>
      </c>
      <c r="F843" s="66">
        <v>3.4</v>
      </c>
      <c r="G843" s="35">
        <f>SUM(E843/D843)</f>
        <v>0.985979381443299</v>
      </c>
      <c r="H843" s="33" t="s">
        <v>1534</v>
      </c>
      <c r="I843" s="36" t="s">
        <v>340</v>
      </c>
      <c r="J843" s="37">
        <v>8</v>
      </c>
      <c r="K843" s="38">
        <v>8</v>
      </c>
      <c r="L843" s="33"/>
      <c r="M843" s="39"/>
    </row>
    <row r="844" spans="1:13" ht="60" customHeight="1" x14ac:dyDescent="0.25">
      <c r="A844" s="151" t="s">
        <v>1545</v>
      </c>
      <c r="B844" s="154" t="s">
        <v>1546</v>
      </c>
      <c r="C844" s="33" t="s">
        <v>23</v>
      </c>
      <c r="D844" s="34">
        <f>SUM(D845:D845)+304.2</f>
        <v>304.2</v>
      </c>
      <c r="E844" s="34">
        <f>SUM(E845:E845)+295.7</f>
        <v>295.7</v>
      </c>
      <c r="F844" s="34">
        <f>SUM(F845:F845)+8.5</f>
        <v>8.5</v>
      </c>
      <c r="G844" s="35">
        <f>SUM(E844/D844)</f>
        <v>0.97205785667324129</v>
      </c>
      <c r="H844" s="33" t="s">
        <v>1431</v>
      </c>
      <c r="I844" s="36" t="s">
        <v>340</v>
      </c>
      <c r="J844" s="37">
        <v>10</v>
      </c>
      <c r="K844" s="38">
        <v>10</v>
      </c>
      <c r="L844" s="33"/>
      <c r="M844" s="39"/>
    </row>
    <row r="845" spans="1:13" ht="16.5" thickBot="1" x14ac:dyDescent="0.3">
      <c r="A845" s="153"/>
      <c r="B845" s="156"/>
      <c r="C845" s="41"/>
      <c r="D845" s="42"/>
      <c r="E845" s="42"/>
      <c r="F845" s="42"/>
      <c r="G845" s="61"/>
      <c r="H845" s="41" t="s">
        <v>1547</v>
      </c>
      <c r="I845" s="43" t="s">
        <v>340</v>
      </c>
      <c r="J845" s="44">
        <v>6</v>
      </c>
      <c r="K845" s="47">
        <v>6</v>
      </c>
      <c r="L845" s="41"/>
      <c r="M845" s="45"/>
    </row>
    <row r="846" spans="1:13" ht="409.5" x14ac:dyDescent="0.25">
      <c r="A846" s="151" t="s">
        <v>1548</v>
      </c>
      <c r="B846" s="154" t="s">
        <v>1549</v>
      </c>
      <c r="C846" s="33"/>
      <c r="D846" s="34">
        <f>SUM(D847:D848)</f>
        <v>1289.0999999999999</v>
      </c>
      <c r="E846" s="34">
        <f>SUM(E847:E848)</f>
        <v>1277.5999999999999</v>
      </c>
      <c r="F846" s="34">
        <f>SUM(F847:F848)</f>
        <v>11.5</v>
      </c>
      <c r="G846" s="53">
        <f t="shared" ref="G846:G871" si="34">SUM(E846/D846)</f>
        <v>0.99107904739740904</v>
      </c>
      <c r="H846" s="33" t="s">
        <v>1550</v>
      </c>
      <c r="I846" s="36" t="s">
        <v>27</v>
      </c>
      <c r="J846" s="37">
        <v>100</v>
      </c>
      <c r="K846" s="62">
        <v>99.11</v>
      </c>
      <c r="L846" s="33" t="s">
        <v>1551</v>
      </c>
      <c r="M846" s="39" t="s">
        <v>1906</v>
      </c>
    </row>
    <row r="847" spans="1:13" x14ac:dyDescent="0.25">
      <c r="A847" s="152"/>
      <c r="B847" s="155"/>
      <c r="C847" s="41" t="s">
        <v>23</v>
      </c>
      <c r="D847" s="42">
        <v>1177.0999999999999</v>
      </c>
      <c r="E847" s="42">
        <v>1166</v>
      </c>
      <c r="F847" s="42">
        <v>11.1</v>
      </c>
      <c r="G847" s="57">
        <f t="shared" si="34"/>
        <v>0.99057004502591117</v>
      </c>
      <c r="H847" s="58"/>
      <c r="I847" s="43"/>
      <c r="J847" s="44"/>
      <c r="K847" s="44"/>
      <c r="L847" s="41"/>
      <c r="M847" s="45"/>
    </row>
    <row r="848" spans="1:13" ht="16.5" thickBot="1" x14ac:dyDescent="0.3">
      <c r="A848" s="153"/>
      <c r="B848" s="156"/>
      <c r="C848" s="41" t="s">
        <v>37</v>
      </c>
      <c r="D848" s="42">
        <v>112</v>
      </c>
      <c r="E848" s="42">
        <v>111.6</v>
      </c>
      <c r="F848" s="42">
        <v>0.4</v>
      </c>
      <c r="G848" s="61">
        <f t="shared" si="34"/>
        <v>0.99642857142857133</v>
      </c>
      <c r="H848" s="41"/>
      <c r="I848" s="43"/>
      <c r="J848" s="44"/>
      <c r="K848" s="44"/>
      <c r="L848" s="41"/>
      <c r="M848" s="45"/>
    </row>
    <row r="849" spans="1:13" ht="45" customHeight="1" x14ac:dyDescent="0.25">
      <c r="A849" s="151" t="s">
        <v>1552</v>
      </c>
      <c r="B849" s="154" t="s">
        <v>1553</v>
      </c>
      <c r="C849" s="33"/>
      <c r="D849" s="34">
        <f>SUM(D850:D851)</f>
        <v>109.1</v>
      </c>
      <c r="E849" s="34">
        <f>SUM(E850:E851)</f>
        <v>64.3</v>
      </c>
      <c r="F849" s="34">
        <f>SUM(F850:F851)</f>
        <v>44.8</v>
      </c>
      <c r="G849" s="53">
        <f t="shared" si="34"/>
        <v>0.58936755270394137</v>
      </c>
      <c r="H849" s="33" t="s">
        <v>1554</v>
      </c>
      <c r="I849" s="36" t="s">
        <v>27</v>
      </c>
      <c r="J849" s="37">
        <v>100</v>
      </c>
      <c r="K849" s="54">
        <v>0</v>
      </c>
      <c r="L849" s="33"/>
      <c r="M849" s="39"/>
    </row>
    <row r="850" spans="1:13" x14ac:dyDescent="0.25">
      <c r="A850" s="152"/>
      <c r="B850" s="155"/>
      <c r="C850" s="41" t="s">
        <v>23</v>
      </c>
      <c r="D850" s="42">
        <v>70.099999999999994</v>
      </c>
      <c r="E850" s="42">
        <v>40.1</v>
      </c>
      <c r="F850" s="42">
        <v>30</v>
      </c>
      <c r="G850" s="57">
        <f t="shared" si="34"/>
        <v>0.57203994293865912</v>
      </c>
      <c r="H850" s="58"/>
      <c r="I850" s="43"/>
      <c r="J850" s="44"/>
      <c r="K850" s="44"/>
      <c r="L850" s="41"/>
      <c r="M850" s="45"/>
    </row>
    <row r="851" spans="1:13" ht="16.5" thickBot="1" x14ac:dyDescent="0.3">
      <c r="A851" s="153"/>
      <c r="B851" s="156"/>
      <c r="C851" s="41" t="s">
        <v>37</v>
      </c>
      <c r="D851" s="42">
        <v>39</v>
      </c>
      <c r="E851" s="42">
        <v>24.2</v>
      </c>
      <c r="F851" s="42">
        <v>14.8</v>
      </c>
      <c r="G851" s="61">
        <f t="shared" si="34"/>
        <v>0.62051282051282053</v>
      </c>
      <c r="H851" s="41"/>
      <c r="I851" s="43"/>
      <c r="J851" s="44"/>
      <c r="K851" s="44"/>
      <c r="L851" s="41"/>
      <c r="M851" s="45"/>
    </row>
    <row r="852" spans="1:13" ht="241.5" customHeight="1" thickBot="1" x14ac:dyDescent="0.3">
      <c r="A852" s="64" t="s">
        <v>1555</v>
      </c>
      <c r="B852" s="65" t="s">
        <v>1556</v>
      </c>
      <c r="C852" s="33" t="s">
        <v>23</v>
      </c>
      <c r="D852" s="66">
        <v>36</v>
      </c>
      <c r="E852" s="66">
        <v>1.5</v>
      </c>
      <c r="F852" s="66">
        <v>34.5</v>
      </c>
      <c r="G852" s="35">
        <f t="shared" si="34"/>
        <v>4.1666666666666664E-2</v>
      </c>
      <c r="H852" s="33" t="s">
        <v>1557</v>
      </c>
      <c r="I852" s="36" t="s">
        <v>27</v>
      </c>
      <c r="J852" s="37">
        <v>100</v>
      </c>
      <c r="K852" s="38">
        <v>100</v>
      </c>
      <c r="L852" s="33"/>
      <c r="M852" s="39" t="s">
        <v>1907</v>
      </c>
    </row>
    <row r="853" spans="1:13" ht="63.75" thickBot="1" x14ac:dyDescent="0.3">
      <c r="A853" s="64" t="s">
        <v>1558</v>
      </c>
      <c r="B853" s="65" t="s">
        <v>1559</v>
      </c>
      <c r="C853" s="33" t="s">
        <v>23</v>
      </c>
      <c r="D853" s="66">
        <v>30</v>
      </c>
      <c r="E853" s="66"/>
      <c r="F853" s="66">
        <v>30</v>
      </c>
      <c r="G853" s="35">
        <f t="shared" si="34"/>
        <v>0</v>
      </c>
      <c r="H853" s="33" t="s">
        <v>1560</v>
      </c>
      <c r="I853" s="36" t="s">
        <v>340</v>
      </c>
      <c r="J853" s="37">
        <v>1</v>
      </c>
      <c r="K853" s="54">
        <v>0</v>
      </c>
      <c r="L853" s="33"/>
      <c r="M853" s="80" t="s">
        <v>1701</v>
      </c>
    </row>
    <row r="854" spans="1:13" ht="48" thickBot="1" x14ac:dyDescent="0.3">
      <c r="A854" s="25" t="s">
        <v>1561</v>
      </c>
      <c r="B854" s="26" t="s">
        <v>1562</v>
      </c>
      <c r="C854" s="27"/>
      <c r="D854" s="28">
        <f>D855+D856+D857+D858+D859+D860+D861+D862+D863+D864+D865+D866+D867+D868+D869+D870+D871+D873+D875</f>
        <v>582.59999999999991</v>
      </c>
      <c r="E854" s="28">
        <f>E855+E856+E857+E858+E859+E860+E861+E862+E863+E864+E865+E866+E867+E868+E869+E870+E871+E873+E875+0.1</f>
        <v>566.29999999999995</v>
      </c>
      <c r="F854" s="28">
        <f>F855+F856+F857+F858+F859+F860+F861+F862+F863+F864+F865+F866+F867+F868+F869+F870+F871+F873+F875+0.1</f>
        <v>16.399999999999999</v>
      </c>
      <c r="G854" s="29">
        <f t="shared" si="34"/>
        <v>0.97202197047717143</v>
      </c>
      <c r="H854" s="129"/>
      <c r="I854" s="130"/>
      <c r="J854" s="130"/>
      <c r="K854" s="130"/>
      <c r="L854" s="130"/>
      <c r="M854" s="131"/>
    </row>
    <row r="855" spans="1:13" ht="32.25" thickBot="1" x14ac:dyDescent="0.3">
      <c r="A855" s="64" t="s">
        <v>1563</v>
      </c>
      <c r="B855" s="65" t="s">
        <v>1564</v>
      </c>
      <c r="C855" s="33" t="s">
        <v>792</v>
      </c>
      <c r="D855" s="66">
        <v>15.4</v>
      </c>
      <c r="E855" s="66">
        <v>15.4</v>
      </c>
      <c r="F855" s="66"/>
      <c r="G855" s="35">
        <f t="shared" si="34"/>
        <v>1</v>
      </c>
      <c r="H855" s="33" t="s">
        <v>1517</v>
      </c>
      <c r="I855" s="36" t="s">
        <v>27</v>
      </c>
      <c r="J855" s="37">
        <v>100</v>
      </c>
      <c r="K855" s="38">
        <v>100</v>
      </c>
      <c r="L855" s="33" t="s">
        <v>1518</v>
      </c>
      <c r="M855" s="39"/>
    </row>
    <row r="856" spans="1:13" ht="32.25" thickBot="1" x14ac:dyDescent="0.3">
      <c r="A856" s="64" t="s">
        <v>1565</v>
      </c>
      <c r="B856" s="65" t="s">
        <v>1566</v>
      </c>
      <c r="C856" s="33" t="s">
        <v>792</v>
      </c>
      <c r="D856" s="66">
        <v>0.2</v>
      </c>
      <c r="E856" s="66">
        <v>0.2</v>
      </c>
      <c r="F856" s="66"/>
      <c r="G856" s="35">
        <f t="shared" si="34"/>
        <v>1</v>
      </c>
      <c r="H856" s="33" t="s">
        <v>1517</v>
      </c>
      <c r="I856" s="36" t="s">
        <v>27</v>
      </c>
      <c r="J856" s="37">
        <v>100</v>
      </c>
      <c r="K856" s="38">
        <v>100</v>
      </c>
      <c r="L856" s="33" t="s">
        <v>1518</v>
      </c>
      <c r="M856" s="39"/>
    </row>
    <row r="857" spans="1:13" ht="32.25" thickBot="1" x14ac:dyDescent="0.3">
      <c r="A857" s="64" t="s">
        <v>1567</v>
      </c>
      <c r="B857" s="65" t="s">
        <v>1568</v>
      </c>
      <c r="C857" s="33" t="s">
        <v>792</v>
      </c>
      <c r="D857" s="66">
        <v>31.5</v>
      </c>
      <c r="E857" s="66">
        <v>31.5</v>
      </c>
      <c r="F857" s="66"/>
      <c r="G857" s="35">
        <f t="shared" si="34"/>
        <v>1</v>
      </c>
      <c r="H857" s="33" t="s">
        <v>1517</v>
      </c>
      <c r="I857" s="36" t="s">
        <v>27</v>
      </c>
      <c r="J857" s="37">
        <v>100</v>
      </c>
      <c r="K857" s="38">
        <v>100</v>
      </c>
      <c r="L857" s="33" t="s">
        <v>1518</v>
      </c>
      <c r="M857" s="39"/>
    </row>
    <row r="858" spans="1:13" ht="32.25" thickBot="1" x14ac:dyDescent="0.3">
      <c r="A858" s="64" t="s">
        <v>1569</v>
      </c>
      <c r="B858" s="65" t="s">
        <v>1570</v>
      </c>
      <c r="C858" s="33" t="s">
        <v>792</v>
      </c>
      <c r="D858" s="66">
        <v>56.5</v>
      </c>
      <c r="E858" s="66">
        <v>56.5</v>
      </c>
      <c r="F858" s="66"/>
      <c r="G858" s="35">
        <f t="shared" si="34"/>
        <v>1</v>
      </c>
      <c r="H858" s="33" t="s">
        <v>1517</v>
      </c>
      <c r="I858" s="36" t="s">
        <v>27</v>
      </c>
      <c r="J858" s="37">
        <v>100</v>
      </c>
      <c r="K858" s="38">
        <v>100</v>
      </c>
      <c r="L858" s="33" t="s">
        <v>1518</v>
      </c>
      <c r="M858" s="39"/>
    </row>
    <row r="859" spans="1:13" ht="32.25" thickBot="1" x14ac:dyDescent="0.3">
      <c r="A859" s="64" t="s">
        <v>1571</v>
      </c>
      <c r="B859" s="65" t="s">
        <v>1572</v>
      </c>
      <c r="C859" s="33" t="s">
        <v>792</v>
      </c>
      <c r="D859" s="66">
        <v>1.7</v>
      </c>
      <c r="E859" s="66">
        <v>1.7</v>
      </c>
      <c r="F859" s="66"/>
      <c r="G859" s="35">
        <f t="shared" si="34"/>
        <v>1</v>
      </c>
      <c r="H859" s="33" t="s">
        <v>1517</v>
      </c>
      <c r="I859" s="36" t="s">
        <v>27</v>
      </c>
      <c r="J859" s="37">
        <v>100</v>
      </c>
      <c r="K859" s="38">
        <v>100</v>
      </c>
      <c r="L859" s="33" t="s">
        <v>1518</v>
      </c>
      <c r="M859" s="39"/>
    </row>
    <row r="860" spans="1:13" ht="32.25" thickBot="1" x14ac:dyDescent="0.3">
      <c r="A860" s="64" t="s">
        <v>1573</v>
      </c>
      <c r="B860" s="65" t="s">
        <v>1574</v>
      </c>
      <c r="C860" s="33" t="s">
        <v>792</v>
      </c>
      <c r="D860" s="66">
        <v>15.6</v>
      </c>
      <c r="E860" s="66">
        <v>15.6</v>
      </c>
      <c r="F860" s="66"/>
      <c r="G860" s="35">
        <f t="shared" si="34"/>
        <v>1</v>
      </c>
      <c r="H860" s="33" t="s">
        <v>1517</v>
      </c>
      <c r="I860" s="36" t="s">
        <v>27</v>
      </c>
      <c r="J860" s="37">
        <v>100</v>
      </c>
      <c r="K860" s="38">
        <v>100</v>
      </c>
      <c r="L860" s="33" t="s">
        <v>1518</v>
      </c>
      <c r="M860" s="39"/>
    </row>
    <row r="861" spans="1:13" ht="32.25" thickBot="1" x14ac:dyDescent="0.3">
      <c r="A861" s="64" t="s">
        <v>1575</v>
      </c>
      <c r="B861" s="65" t="s">
        <v>1576</v>
      </c>
      <c r="C861" s="33" t="s">
        <v>792</v>
      </c>
      <c r="D861" s="66">
        <v>28.1</v>
      </c>
      <c r="E861" s="66">
        <v>28.1</v>
      </c>
      <c r="F861" s="66"/>
      <c r="G861" s="35">
        <f t="shared" si="34"/>
        <v>1</v>
      </c>
      <c r="H861" s="33" t="s">
        <v>1517</v>
      </c>
      <c r="I861" s="36" t="s">
        <v>27</v>
      </c>
      <c r="J861" s="37">
        <v>100</v>
      </c>
      <c r="K861" s="38">
        <v>100</v>
      </c>
      <c r="L861" s="33" t="s">
        <v>1518</v>
      </c>
      <c r="M861" s="39"/>
    </row>
    <row r="862" spans="1:13" ht="32.25" thickBot="1" x14ac:dyDescent="0.3">
      <c r="A862" s="64" t="s">
        <v>1577</v>
      </c>
      <c r="B862" s="65" t="s">
        <v>1578</v>
      </c>
      <c r="C862" s="33" t="s">
        <v>792</v>
      </c>
      <c r="D862" s="66">
        <v>78.599999999999994</v>
      </c>
      <c r="E862" s="66">
        <v>78.599999999999994</v>
      </c>
      <c r="F862" s="66"/>
      <c r="G862" s="35">
        <f t="shared" si="34"/>
        <v>1</v>
      </c>
      <c r="H862" s="33" t="s">
        <v>1517</v>
      </c>
      <c r="I862" s="36" t="s">
        <v>27</v>
      </c>
      <c r="J862" s="37">
        <v>100</v>
      </c>
      <c r="K862" s="38">
        <v>100</v>
      </c>
      <c r="L862" s="33" t="s">
        <v>1518</v>
      </c>
      <c r="M862" s="39"/>
    </row>
    <row r="863" spans="1:13" ht="32.25" thickBot="1" x14ac:dyDescent="0.3">
      <c r="A863" s="64" t="s">
        <v>1579</v>
      </c>
      <c r="B863" s="65" t="s">
        <v>1580</v>
      </c>
      <c r="C863" s="33" t="s">
        <v>792</v>
      </c>
      <c r="D863" s="66">
        <v>23</v>
      </c>
      <c r="E863" s="66">
        <v>23</v>
      </c>
      <c r="F863" s="66"/>
      <c r="G863" s="35">
        <f t="shared" si="34"/>
        <v>1</v>
      </c>
      <c r="H863" s="33" t="s">
        <v>1517</v>
      </c>
      <c r="I863" s="36" t="s">
        <v>27</v>
      </c>
      <c r="J863" s="37">
        <v>100</v>
      </c>
      <c r="K863" s="38">
        <v>100</v>
      </c>
      <c r="L863" s="33" t="s">
        <v>1518</v>
      </c>
      <c r="M863" s="39"/>
    </row>
    <row r="864" spans="1:13" ht="32.25" thickBot="1" x14ac:dyDescent="0.3">
      <c r="A864" s="64" t="s">
        <v>1581</v>
      </c>
      <c r="B864" s="65" t="s">
        <v>1582</v>
      </c>
      <c r="C864" s="33" t="s">
        <v>792</v>
      </c>
      <c r="D864" s="66">
        <v>74.099999999999994</v>
      </c>
      <c r="E864" s="66">
        <v>74.099999999999994</v>
      </c>
      <c r="F864" s="66"/>
      <c r="G864" s="35">
        <f t="shared" si="34"/>
        <v>1</v>
      </c>
      <c r="H864" s="33" t="s">
        <v>1517</v>
      </c>
      <c r="I864" s="36" t="s">
        <v>27</v>
      </c>
      <c r="J864" s="37">
        <v>100</v>
      </c>
      <c r="K864" s="38">
        <v>100</v>
      </c>
      <c r="L864" s="33" t="s">
        <v>1518</v>
      </c>
      <c r="M864" s="39"/>
    </row>
    <row r="865" spans="1:13" ht="32.25" thickBot="1" x14ac:dyDescent="0.3">
      <c r="A865" s="64" t="s">
        <v>1583</v>
      </c>
      <c r="B865" s="65" t="s">
        <v>1584</v>
      </c>
      <c r="C865" s="33" t="s">
        <v>792</v>
      </c>
      <c r="D865" s="66">
        <v>6.6</v>
      </c>
      <c r="E865" s="66">
        <v>6.6</v>
      </c>
      <c r="F865" s="66"/>
      <c r="G865" s="35">
        <f t="shared" si="34"/>
        <v>1</v>
      </c>
      <c r="H865" s="33" t="s">
        <v>1517</v>
      </c>
      <c r="I865" s="36" t="s">
        <v>27</v>
      </c>
      <c r="J865" s="37">
        <v>100</v>
      </c>
      <c r="K865" s="38">
        <v>100</v>
      </c>
      <c r="L865" s="33" t="s">
        <v>1518</v>
      </c>
      <c r="M865" s="39"/>
    </row>
    <row r="866" spans="1:13" ht="32.25" thickBot="1" x14ac:dyDescent="0.3">
      <c r="A866" s="64" t="s">
        <v>1585</v>
      </c>
      <c r="B866" s="65" t="s">
        <v>1586</v>
      </c>
      <c r="C866" s="33" t="s">
        <v>792</v>
      </c>
      <c r="D866" s="66">
        <v>5.2</v>
      </c>
      <c r="E866" s="66">
        <v>5</v>
      </c>
      <c r="F866" s="66">
        <v>0.2</v>
      </c>
      <c r="G866" s="35">
        <f t="shared" si="34"/>
        <v>0.96153846153846145</v>
      </c>
      <c r="H866" s="33" t="s">
        <v>1517</v>
      </c>
      <c r="I866" s="36" t="s">
        <v>27</v>
      </c>
      <c r="J866" s="37">
        <v>100</v>
      </c>
      <c r="K866" s="38">
        <v>100</v>
      </c>
      <c r="L866" s="33" t="s">
        <v>1518</v>
      </c>
      <c r="M866" s="39"/>
    </row>
    <row r="867" spans="1:13" ht="32.25" thickBot="1" x14ac:dyDescent="0.3">
      <c r="A867" s="64" t="s">
        <v>1587</v>
      </c>
      <c r="B867" s="65" t="s">
        <v>1588</v>
      </c>
      <c r="C867" s="33" t="s">
        <v>792</v>
      </c>
      <c r="D867" s="66">
        <v>21.4</v>
      </c>
      <c r="E867" s="66">
        <v>15.7</v>
      </c>
      <c r="F867" s="66">
        <v>5.7</v>
      </c>
      <c r="G867" s="35">
        <f t="shared" si="34"/>
        <v>0.73364485981308414</v>
      </c>
      <c r="H867" s="33" t="s">
        <v>1517</v>
      </c>
      <c r="I867" s="36" t="s">
        <v>27</v>
      </c>
      <c r="J867" s="37">
        <v>100</v>
      </c>
      <c r="K867" s="38">
        <v>100</v>
      </c>
      <c r="L867" s="33" t="s">
        <v>1518</v>
      </c>
      <c r="M867" s="39"/>
    </row>
    <row r="868" spans="1:13" ht="32.25" thickBot="1" x14ac:dyDescent="0.3">
      <c r="A868" s="64" t="s">
        <v>1589</v>
      </c>
      <c r="B868" s="65" t="s">
        <v>1590</v>
      </c>
      <c r="C868" s="33" t="s">
        <v>792</v>
      </c>
      <c r="D868" s="66">
        <v>57.6</v>
      </c>
      <c r="E868" s="66">
        <v>52.3</v>
      </c>
      <c r="F868" s="66">
        <v>5.3</v>
      </c>
      <c r="G868" s="35">
        <f t="shared" si="34"/>
        <v>0.90798611111111105</v>
      </c>
      <c r="H868" s="33" t="s">
        <v>1517</v>
      </c>
      <c r="I868" s="36" t="s">
        <v>27</v>
      </c>
      <c r="J868" s="37">
        <v>100</v>
      </c>
      <c r="K868" s="38">
        <v>100</v>
      </c>
      <c r="L868" s="33" t="s">
        <v>1518</v>
      </c>
      <c r="M868" s="39"/>
    </row>
    <row r="869" spans="1:13" ht="32.25" thickBot="1" x14ac:dyDescent="0.3">
      <c r="A869" s="64" t="s">
        <v>1591</v>
      </c>
      <c r="B869" s="65" t="s">
        <v>1592</v>
      </c>
      <c r="C869" s="33" t="s">
        <v>792</v>
      </c>
      <c r="D869" s="66">
        <v>92.5</v>
      </c>
      <c r="E869" s="66">
        <v>90.2</v>
      </c>
      <c r="F869" s="66">
        <v>2.2000000000000002</v>
      </c>
      <c r="G869" s="35">
        <f t="shared" si="34"/>
        <v>0.97513513513513517</v>
      </c>
      <c r="H869" s="33" t="s">
        <v>1517</v>
      </c>
      <c r="I869" s="36" t="s">
        <v>27</v>
      </c>
      <c r="J869" s="37">
        <v>100</v>
      </c>
      <c r="K869" s="38">
        <v>100</v>
      </c>
      <c r="L869" s="33" t="s">
        <v>1518</v>
      </c>
      <c r="M869" s="39"/>
    </row>
    <row r="870" spans="1:13" ht="63.75" thickBot="1" x14ac:dyDescent="0.3">
      <c r="A870" s="64" t="s">
        <v>1593</v>
      </c>
      <c r="B870" s="65" t="s">
        <v>1594</v>
      </c>
      <c r="C870" s="33" t="s">
        <v>792</v>
      </c>
      <c r="D870" s="66">
        <v>1.9</v>
      </c>
      <c r="E870" s="66">
        <v>1.8</v>
      </c>
      <c r="F870" s="66">
        <v>0.1</v>
      </c>
      <c r="G870" s="35">
        <f t="shared" si="34"/>
        <v>0.94736842105263164</v>
      </c>
      <c r="H870" s="33" t="s">
        <v>1517</v>
      </c>
      <c r="I870" s="36" t="s">
        <v>27</v>
      </c>
      <c r="J870" s="37">
        <v>100</v>
      </c>
      <c r="K870" s="38">
        <v>100</v>
      </c>
      <c r="L870" s="33" t="s">
        <v>1518</v>
      </c>
      <c r="M870" s="39"/>
    </row>
    <row r="871" spans="1:13" ht="47.25" x14ac:dyDescent="0.25">
      <c r="A871" s="151" t="s">
        <v>1595</v>
      </c>
      <c r="B871" s="154" t="s">
        <v>1596</v>
      </c>
      <c r="C871" s="33" t="s">
        <v>792</v>
      </c>
      <c r="D871" s="34">
        <f>SUM(D872:D872)+9.4</f>
        <v>9.4</v>
      </c>
      <c r="E871" s="34">
        <f>SUM(E872:E872)+9.4</f>
        <v>9.4</v>
      </c>
      <c r="F871" s="34"/>
      <c r="G871" s="35">
        <f t="shared" si="34"/>
        <v>1</v>
      </c>
      <c r="H871" s="33" t="s">
        <v>1597</v>
      </c>
      <c r="I871" s="36" t="s">
        <v>18</v>
      </c>
      <c r="J871" s="37">
        <v>10</v>
      </c>
      <c r="K871" s="60">
        <v>12</v>
      </c>
      <c r="L871" s="33" t="s">
        <v>1598</v>
      </c>
      <c r="M871" s="39" t="s">
        <v>1908</v>
      </c>
    </row>
    <row r="872" spans="1:13" ht="63.75" thickBot="1" x14ac:dyDescent="0.3">
      <c r="A872" s="153"/>
      <c r="B872" s="156"/>
      <c r="C872" s="41"/>
      <c r="D872" s="42"/>
      <c r="E872" s="42"/>
      <c r="F872" s="42"/>
      <c r="G872" s="42"/>
      <c r="H872" s="41" t="s">
        <v>1599</v>
      </c>
      <c r="I872" s="43" t="s">
        <v>18</v>
      </c>
      <c r="J872" s="44">
        <v>50</v>
      </c>
      <c r="K872" s="63">
        <v>275</v>
      </c>
      <c r="L872" s="41" t="s">
        <v>1600</v>
      </c>
      <c r="M872" s="45" t="s">
        <v>1909</v>
      </c>
    </row>
    <row r="873" spans="1:13" ht="60" customHeight="1" x14ac:dyDescent="0.25">
      <c r="A873" s="151" t="s">
        <v>1601</v>
      </c>
      <c r="B873" s="154" t="s">
        <v>1602</v>
      </c>
      <c r="C873" s="33"/>
      <c r="D873" s="34">
        <f>SUM(D874:D874)</f>
        <v>24.9</v>
      </c>
      <c r="E873" s="34">
        <f>SUM(E874:E874)</f>
        <v>22.1</v>
      </c>
      <c r="F873" s="34">
        <f>SUM(F874:F874)</f>
        <v>2.8</v>
      </c>
      <c r="G873" s="35">
        <f>SUM(E873/D873)</f>
        <v>0.88755020080321301</v>
      </c>
      <c r="H873" s="33" t="s">
        <v>1517</v>
      </c>
      <c r="I873" s="36" t="s">
        <v>27</v>
      </c>
      <c r="J873" s="37">
        <v>100</v>
      </c>
      <c r="K873" s="38">
        <v>100</v>
      </c>
      <c r="L873" s="33" t="s">
        <v>1518</v>
      </c>
      <c r="M873" s="39"/>
    </row>
    <row r="874" spans="1:13" ht="16.5" thickBot="1" x14ac:dyDescent="0.3">
      <c r="A874" s="153"/>
      <c r="B874" s="156"/>
      <c r="C874" s="41" t="s">
        <v>78</v>
      </c>
      <c r="D874" s="42">
        <v>24.9</v>
      </c>
      <c r="E874" s="42">
        <v>22.1</v>
      </c>
      <c r="F874" s="42">
        <v>2.8</v>
      </c>
      <c r="G874" s="61">
        <f>SUM(E874/D874)</f>
        <v>0.88755020080321301</v>
      </c>
      <c r="H874" s="41"/>
      <c r="I874" s="43"/>
      <c r="J874" s="44"/>
      <c r="K874" s="44"/>
      <c r="L874" s="41"/>
      <c r="M874" s="45"/>
    </row>
    <row r="875" spans="1:13" ht="32.25" thickBot="1" x14ac:dyDescent="0.3">
      <c r="A875" s="64" t="s">
        <v>1603</v>
      </c>
      <c r="B875" s="65" t="s">
        <v>1604</v>
      </c>
      <c r="C875" s="33" t="s">
        <v>792</v>
      </c>
      <c r="D875" s="66">
        <v>38.4</v>
      </c>
      <c r="E875" s="66">
        <v>38.4</v>
      </c>
      <c r="F875" s="66"/>
      <c r="G875" s="35">
        <f>SUM(E875/D875)</f>
        <v>1</v>
      </c>
      <c r="H875" s="33" t="s">
        <v>1605</v>
      </c>
      <c r="I875" s="36" t="s">
        <v>27</v>
      </c>
      <c r="J875" s="37">
        <v>100</v>
      </c>
      <c r="K875" s="38">
        <v>100</v>
      </c>
      <c r="L875" s="33" t="s">
        <v>1518</v>
      </c>
      <c r="M875" s="39"/>
    </row>
    <row r="876" spans="1:13" ht="79.5" thickBot="1" x14ac:dyDescent="0.3">
      <c r="A876" s="25" t="s">
        <v>1606</v>
      </c>
      <c r="B876" s="26" t="s">
        <v>1607</v>
      </c>
      <c r="C876" s="27"/>
      <c r="D876" s="28">
        <f>D877+D878+D887</f>
        <v>715.2</v>
      </c>
      <c r="E876" s="28">
        <f>E877+E878+E887</f>
        <v>69.400000000000006</v>
      </c>
      <c r="F876" s="28">
        <f>F877+F878+F887</f>
        <v>645.79999999999995</v>
      </c>
      <c r="G876" s="29">
        <f>SUM(E876/D876)</f>
        <v>9.7035794183445198E-2</v>
      </c>
      <c r="H876" s="129"/>
      <c r="I876" s="130"/>
      <c r="J876" s="130"/>
      <c r="K876" s="130"/>
      <c r="L876" s="130"/>
      <c r="M876" s="131"/>
    </row>
    <row r="877" spans="1:13" ht="79.5" thickBot="1" x14ac:dyDescent="0.3">
      <c r="A877" s="64" t="s">
        <v>1608</v>
      </c>
      <c r="B877" s="65" t="s">
        <v>1609</v>
      </c>
      <c r="C877" s="33"/>
      <c r="D877" s="66"/>
      <c r="E877" s="66"/>
      <c r="F877" s="66"/>
      <c r="G877" s="66"/>
      <c r="H877" s="33" t="s">
        <v>1610</v>
      </c>
      <c r="I877" s="36" t="s">
        <v>18</v>
      </c>
      <c r="J877" s="37">
        <v>10</v>
      </c>
      <c r="K877" s="60">
        <v>35</v>
      </c>
      <c r="L877" s="33"/>
      <c r="M877" s="39" t="s">
        <v>1910</v>
      </c>
    </row>
    <row r="878" spans="1:13" ht="63.75" thickBot="1" x14ac:dyDescent="0.3">
      <c r="A878" s="64" t="s">
        <v>1611</v>
      </c>
      <c r="B878" s="65" t="s">
        <v>1612</v>
      </c>
      <c r="C878" s="33"/>
      <c r="D878" s="34">
        <f>D879+D883</f>
        <v>548.20000000000005</v>
      </c>
      <c r="E878" s="34">
        <f>E879+E883</f>
        <v>29.900000000000002</v>
      </c>
      <c r="F878" s="34">
        <f>F879+F883+0.1</f>
        <v>518.29999999999995</v>
      </c>
      <c r="G878" s="35">
        <f t="shared" ref="G878:G896" si="35">SUM(E878/D878)</f>
        <v>5.4542137905873769E-2</v>
      </c>
      <c r="H878" s="33" t="s">
        <v>1613</v>
      </c>
      <c r="I878" s="36" t="s">
        <v>18</v>
      </c>
      <c r="J878" s="37">
        <v>2</v>
      </c>
      <c r="K878" s="54">
        <v>0</v>
      </c>
      <c r="L878" s="33"/>
      <c r="M878" s="39"/>
    </row>
    <row r="879" spans="1:13" ht="94.5" x14ac:dyDescent="0.25">
      <c r="A879" s="151" t="s">
        <v>1614</v>
      </c>
      <c r="B879" s="154" t="s">
        <v>1615</v>
      </c>
      <c r="C879" s="33"/>
      <c r="D879" s="34">
        <f>SUM(D880:D882)</f>
        <v>186.60000000000002</v>
      </c>
      <c r="E879" s="34">
        <f>SUM(E880:E882)</f>
        <v>28.6</v>
      </c>
      <c r="F879" s="34">
        <f>SUM(F880:F882)</f>
        <v>158</v>
      </c>
      <c r="G879" s="53">
        <f t="shared" si="35"/>
        <v>0.15326902465166128</v>
      </c>
      <c r="H879" s="33" t="s">
        <v>1613</v>
      </c>
      <c r="I879" s="36" t="s">
        <v>18</v>
      </c>
      <c r="J879" s="37">
        <v>1</v>
      </c>
      <c r="K879" s="54">
        <v>0</v>
      </c>
      <c r="L879" s="33" t="s">
        <v>1616</v>
      </c>
      <c r="M879" s="39" t="s">
        <v>1911</v>
      </c>
    </row>
    <row r="880" spans="1:13" x14ac:dyDescent="0.25">
      <c r="A880" s="152"/>
      <c r="B880" s="155"/>
      <c r="C880" s="41" t="s">
        <v>37</v>
      </c>
      <c r="D880" s="42">
        <v>5.9</v>
      </c>
      <c r="E880" s="42">
        <v>4.5999999999999996</v>
      </c>
      <c r="F880" s="42">
        <v>1.3</v>
      </c>
      <c r="G880" s="57">
        <f t="shared" si="35"/>
        <v>0.77966101694915246</v>
      </c>
      <c r="H880" s="58"/>
      <c r="I880" s="43"/>
      <c r="J880" s="44"/>
      <c r="K880" s="44"/>
      <c r="L880" s="41"/>
      <c r="M880" s="45"/>
    </row>
    <row r="881" spans="1:13" x14ac:dyDescent="0.25">
      <c r="A881" s="152"/>
      <c r="B881" s="155"/>
      <c r="C881" s="41" t="s">
        <v>208</v>
      </c>
      <c r="D881" s="42">
        <v>153.4</v>
      </c>
      <c r="E881" s="42">
        <v>20.399999999999999</v>
      </c>
      <c r="F881" s="42">
        <v>133</v>
      </c>
      <c r="G881" s="57">
        <f t="shared" si="35"/>
        <v>0.1329856584093872</v>
      </c>
      <c r="H881" s="58"/>
      <c r="I881" s="43"/>
      <c r="J881" s="44"/>
      <c r="K881" s="44"/>
      <c r="L881" s="41"/>
      <c r="M881" s="45"/>
    </row>
    <row r="882" spans="1:13" ht="16.5" thickBot="1" x14ac:dyDescent="0.3">
      <c r="A882" s="153"/>
      <c r="B882" s="156"/>
      <c r="C882" s="41" t="s">
        <v>78</v>
      </c>
      <c r="D882" s="42">
        <v>27.3</v>
      </c>
      <c r="E882" s="42">
        <v>3.6</v>
      </c>
      <c r="F882" s="42">
        <v>23.7</v>
      </c>
      <c r="G882" s="61">
        <f t="shared" si="35"/>
        <v>0.13186813186813187</v>
      </c>
      <c r="H882" s="41"/>
      <c r="I882" s="43"/>
      <c r="J882" s="44"/>
      <c r="K882" s="44"/>
      <c r="L882" s="41"/>
      <c r="M882" s="45"/>
    </row>
    <row r="883" spans="1:13" ht="105" customHeight="1" x14ac:dyDescent="0.25">
      <c r="A883" s="151" t="s">
        <v>1617</v>
      </c>
      <c r="B883" s="154" t="s">
        <v>1618</v>
      </c>
      <c r="C883" s="33"/>
      <c r="D883" s="34">
        <f>SUM(D884:D886)</f>
        <v>361.59999999999997</v>
      </c>
      <c r="E883" s="34">
        <f>SUM(E884:E886)</f>
        <v>1.3</v>
      </c>
      <c r="F883" s="34">
        <f>SUM(F884:F886)-0.1</f>
        <v>360.19999999999993</v>
      </c>
      <c r="G883" s="53">
        <f t="shared" si="35"/>
        <v>3.5951327433628322E-3</v>
      </c>
      <c r="H883" s="33" t="s">
        <v>1613</v>
      </c>
      <c r="I883" s="36" t="s">
        <v>18</v>
      </c>
      <c r="J883" s="37">
        <v>1</v>
      </c>
      <c r="K883" s="54">
        <v>0</v>
      </c>
      <c r="L883" s="33" t="s">
        <v>1619</v>
      </c>
      <c r="M883" s="39" t="s">
        <v>1912</v>
      </c>
    </row>
    <row r="884" spans="1:13" x14ac:dyDescent="0.25">
      <c r="A884" s="152"/>
      <c r="B884" s="155"/>
      <c r="C884" s="41" t="s">
        <v>208</v>
      </c>
      <c r="D884" s="42">
        <v>299.2</v>
      </c>
      <c r="E884" s="42">
        <v>1.3</v>
      </c>
      <c r="F884" s="42">
        <v>297.89999999999998</v>
      </c>
      <c r="G884" s="57">
        <f t="shared" si="35"/>
        <v>4.3449197860962567E-3</v>
      </c>
      <c r="H884" s="58"/>
      <c r="I884" s="43"/>
      <c r="J884" s="44"/>
      <c r="K884" s="44"/>
      <c r="L884" s="41"/>
      <c r="M884" s="45"/>
    </row>
    <row r="885" spans="1:13" x14ac:dyDescent="0.25">
      <c r="A885" s="152"/>
      <c r="B885" s="155"/>
      <c r="C885" s="41" t="s">
        <v>37</v>
      </c>
      <c r="D885" s="42">
        <v>0.2</v>
      </c>
      <c r="E885" s="42"/>
      <c r="F885" s="42">
        <v>0.2</v>
      </c>
      <c r="G885" s="57">
        <f t="shared" si="35"/>
        <v>0</v>
      </c>
      <c r="H885" s="58"/>
      <c r="I885" s="43"/>
      <c r="J885" s="44"/>
      <c r="K885" s="44"/>
      <c r="L885" s="41"/>
      <c r="M885" s="45"/>
    </row>
    <row r="886" spans="1:13" ht="16.5" thickBot="1" x14ac:dyDescent="0.3">
      <c r="A886" s="153"/>
      <c r="B886" s="156"/>
      <c r="C886" s="41" t="s">
        <v>78</v>
      </c>
      <c r="D886" s="42">
        <v>62.2</v>
      </c>
      <c r="E886" s="42"/>
      <c r="F886" s="42">
        <v>62.2</v>
      </c>
      <c r="G886" s="61">
        <f t="shared" si="35"/>
        <v>0</v>
      </c>
      <c r="H886" s="41"/>
      <c r="I886" s="43"/>
      <c r="J886" s="44"/>
      <c r="K886" s="44"/>
      <c r="L886" s="41"/>
      <c r="M886" s="45"/>
    </row>
    <row r="887" spans="1:13" ht="157.5" x14ac:dyDescent="0.25">
      <c r="A887" s="151" t="s">
        <v>1620</v>
      </c>
      <c r="B887" s="154" t="s">
        <v>1621</v>
      </c>
      <c r="C887" s="33"/>
      <c r="D887" s="34">
        <f>SUM(D888:D889)</f>
        <v>167</v>
      </c>
      <c r="E887" s="34">
        <f>SUM(E888:E889)</f>
        <v>39.5</v>
      </c>
      <c r="F887" s="34">
        <f>SUM(F888:F889)</f>
        <v>127.5</v>
      </c>
      <c r="G887" s="53">
        <f t="shared" si="35"/>
        <v>0.23652694610778444</v>
      </c>
      <c r="H887" s="33" t="s">
        <v>1622</v>
      </c>
      <c r="I887" s="36" t="s">
        <v>340</v>
      </c>
      <c r="J887" s="37">
        <v>18</v>
      </c>
      <c r="K887" s="54">
        <v>0</v>
      </c>
      <c r="L887" s="33" t="s">
        <v>1623</v>
      </c>
      <c r="M887" s="39" t="s">
        <v>1913</v>
      </c>
    </row>
    <row r="888" spans="1:13" x14ac:dyDescent="0.25">
      <c r="A888" s="152"/>
      <c r="B888" s="155"/>
      <c r="C888" s="41" t="s">
        <v>23</v>
      </c>
      <c r="D888" s="42">
        <v>161.1</v>
      </c>
      <c r="E888" s="42">
        <v>33.6</v>
      </c>
      <c r="F888" s="42">
        <v>127.5</v>
      </c>
      <c r="G888" s="57">
        <f t="shared" si="35"/>
        <v>0.20856610800744882</v>
      </c>
      <c r="H888" s="58"/>
      <c r="I888" s="43"/>
      <c r="J888" s="44"/>
      <c r="K888" s="44"/>
      <c r="L888" s="41"/>
      <c r="M888" s="45"/>
    </row>
    <row r="889" spans="1:13" ht="16.5" thickBot="1" x14ac:dyDescent="0.3">
      <c r="A889" s="153"/>
      <c r="B889" s="156"/>
      <c r="C889" s="41" t="s">
        <v>37</v>
      </c>
      <c r="D889" s="42">
        <v>5.9</v>
      </c>
      <c r="E889" s="42">
        <v>5.9</v>
      </c>
      <c r="F889" s="42"/>
      <c r="G889" s="61">
        <f t="shared" si="35"/>
        <v>1</v>
      </c>
      <c r="H889" s="41"/>
      <c r="I889" s="43"/>
      <c r="J889" s="44"/>
      <c r="K889" s="44"/>
      <c r="L889" s="41"/>
      <c r="M889" s="45"/>
    </row>
    <row r="890" spans="1:13" ht="32.25" thickBot="1" x14ac:dyDescent="0.3">
      <c r="A890" s="25" t="s">
        <v>1624</v>
      </c>
      <c r="B890" s="26" t="s">
        <v>1625</v>
      </c>
      <c r="C890" s="27"/>
      <c r="D890" s="28">
        <f>D891+D893</f>
        <v>7030.3</v>
      </c>
      <c r="E890" s="28">
        <f>E891+E893</f>
        <v>7030.9</v>
      </c>
      <c r="F890" s="28">
        <f>F891+F893</f>
        <v>-0.59999999999999987</v>
      </c>
      <c r="G890" s="29">
        <f t="shared" si="35"/>
        <v>1.0000853448643727</v>
      </c>
      <c r="H890" s="129"/>
      <c r="I890" s="130"/>
      <c r="J890" s="130"/>
      <c r="K890" s="130"/>
      <c r="L890" s="130"/>
      <c r="M890" s="131"/>
    </row>
    <row r="891" spans="1:13" ht="75" customHeight="1" x14ac:dyDescent="0.25">
      <c r="A891" s="151" t="s">
        <v>1626</v>
      </c>
      <c r="B891" s="154" t="s">
        <v>1627</v>
      </c>
      <c r="C891" s="33"/>
      <c r="D891" s="34">
        <f>SUM(D892:D892)</f>
        <v>4324.5</v>
      </c>
      <c r="E891" s="34">
        <f>SUM(E892:E892)</f>
        <v>4325.8999999999996</v>
      </c>
      <c r="F891" s="34">
        <f>SUM(F892:F892)</f>
        <v>-1.4</v>
      </c>
      <c r="G891" s="35">
        <f t="shared" si="35"/>
        <v>1.0003237368481905</v>
      </c>
      <c r="H891" s="33" t="s">
        <v>1628</v>
      </c>
      <c r="I891" s="36" t="s">
        <v>340</v>
      </c>
      <c r="J891" s="37">
        <v>7</v>
      </c>
      <c r="K891" s="74">
        <v>1</v>
      </c>
      <c r="L891" s="83"/>
      <c r="M891" s="80"/>
    </row>
    <row r="892" spans="1:13" ht="32.25" thickBot="1" x14ac:dyDescent="0.3">
      <c r="A892" s="153"/>
      <c r="B892" s="156"/>
      <c r="C892" s="41" t="s">
        <v>23</v>
      </c>
      <c r="D892" s="42">
        <v>4324.5</v>
      </c>
      <c r="E892" s="42">
        <v>4325.8999999999996</v>
      </c>
      <c r="F892" s="42">
        <v>-1.4</v>
      </c>
      <c r="G892" s="61">
        <f t="shared" si="35"/>
        <v>1.0003237368481905</v>
      </c>
      <c r="H892" s="41" t="s">
        <v>1629</v>
      </c>
      <c r="I892" s="43" t="s">
        <v>27</v>
      </c>
      <c r="J892" s="44">
        <v>100</v>
      </c>
      <c r="K892" s="47">
        <v>100</v>
      </c>
      <c r="L892" s="94"/>
      <c r="M892" s="81"/>
    </row>
    <row r="893" spans="1:13" ht="63" x14ac:dyDescent="0.25">
      <c r="A893" s="151" t="s">
        <v>1630</v>
      </c>
      <c r="B893" s="154" t="s">
        <v>1631</v>
      </c>
      <c r="C893" s="33"/>
      <c r="D893" s="34">
        <f>SUM(D894:D895)</f>
        <v>2705.8</v>
      </c>
      <c r="E893" s="34">
        <f>SUM(E894:E895)</f>
        <v>2705</v>
      </c>
      <c r="F893" s="34">
        <f>SUM(F894:F895)</f>
        <v>0.8</v>
      </c>
      <c r="G893" s="53">
        <f t="shared" si="35"/>
        <v>0.99970433882770338</v>
      </c>
      <c r="H893" s="33" t="s">
        <v>1632</v>
      </c>
      <c r="I893" s="36" t="s">
        <v>27</v>
      </c>
      <c r="J893" s="37">
        <v>100</v>
      </c>
      <c r="K893" s="38">
        <v>100</v>
      </c>
      <c r="L893" s="33" t="s">
        <v>1482</v>
      </c>
      <c r="M893" s="39" t="s">
        <v>1914</v>
      </c>
    </row>
    <row r="894" spans="1:13" x14ac:dyDescent="0.25">
      <c r="A894" s="152"/>
      <c r="B894" s="155"/>
      <c r="C894" s="41" t="s">
        <v>37</v>
      </c>
      <c r="D894" s="42">
        <v>2002.9</v>
      </c>
      <c r="E894" s="42">
        <v>2002.9</v>
      </c>
      <c r="F894" s="42"/>
      <c r="G894" s="57">
        <f t="shared" si="35"/>
        <v>1</v>
      </c>
      <c r="H894" s="58"/>
      <c r="I894" s="43"/>
      <c r="J894" s="44"/>
      <c r="K894" s="44"/>
      <c r="L894" s="41"/>
      <c r="M894" s="45"/>
    </row>
    <row r="895" spans="1:13" ht="16.5" thickBot="1" x14ac:dyDescent="0.3">
      <c r="A895" s="153"/>
      <c r="B895" s="156"/>
      <c r="C895" s="41" t="s">
        <v>23</v>
      </c>
      <c r="D895" s="42">
        <v>702.9</v>
      </c>
      <c r="E895" s="42">
        <v>702.1</v>
      </c>
      <c r="F895" s="42">
        <v>0.8</v>
      </c>
      <c r="G895" s="61">
        <f t="shared" si="35"/>
        <v>0.99886185801678762</v>
      </c>
      <c r="H895" s="41"/>
      <c r="I895" s="43"/>
      <c r="J895" s="44"/>
      <c r="K895" s="44"/>
      <c r="L895" s="41"/>
      <c r="M895" s="45"/>
    </row>
    <row r="896" spans="1:13" ht="63.75" thickBot="1" x14ac:dyDescent="0.3">
      <c r="A896" s="25" t="s">
        <v>1633</v>
      </c>
      <c r="B896" s="26" t="s">
        <v>1634</v>
      </c>
      <c r="C896" s="27"/>
      <c r="D896" s="28">
        <f>SUM(D897:D899)</f>
        <v>10</v>
      </c>
      <c r="E896" s="28">
        <f>SUM(E897:E899)</f>
        <v>7.2</v>
      </c>
      <c r="F896" s="28">
        <f>SUM(F897:F899)</f>
        <v>2.8</v>
      </c>
      <c r="G896" s="29">
        <f t="shared" si="35"/>
        <v>0.72</v>
      </c>
      <c r="H896" s="129"/>
      <c r="I896" s="130"/>
      <c r="J896" s="130"/>
      <c r="K896" s="130"/>
      <c r="L896" s="130"/>
      <c r="M896" s="131"/>
    </row>
    <row r="897" spans="1:13" ht="95.25" thickBot="1" x14ac:dyDescent="0.3">
      <c r="A897" s="64" t="s">
        <v>1635</v>
      </c>
      <c r="B897" s="65" t="s">
        <v>1636</v>
      </c>
      <c r="C897" s="33"/>
      <c r="D897" s="66"/>
      <c r="E897" s="66"/>
      <c r="F897" s="66"/>
      <c r="G897" s="66"/>
      <c r="H897" s="33" t="s">
        <v>1637</v>
      </c>
      <c r="I897" s="36" t="s">
        <v>27</v>
      </c>
      <c r="J897" s="37">
        <v>100</v>
      </c>
      <c r="K897" s="38">
        <v>100</v>
      </c>
      <c r="L897" s="33" t="s">
        <v>1638</v>
      </c>
      <c r="M897" s="39"/>
    </row>
    <row r="898" spans="1:13" ht="126.75" thickBot="1" x14ac:dyDescent="0.3">
      <c r="A898" s="64" t="s">
        <v>1639</v>
      </c>
      <c r="B898" s="65" t="s">
        <v>1640</v>
      </c>
      <c r="C898" s="33"/>
      <c r="D898" s="66"/>
      <c r="E898" s="66"/>
      <c r="F898" s="66"/>
      <c r="G898" s="66"/>
      <c r="H898" s="33" t="s">
        <v>1641</v>
      </c>
      <c r="I898" s="36" t="s">
        <v>18</v>
      </c>
      <c r="J898" s="37">
        <v>1</v>
      </c>
      <c r="K898" s="38">
        <v>1</v>
      </c>
      <c r="L898" s="83" t="s">
        <v>1723</v>
      </c>
      <c r="M898" s="39"/>
    </row>
    <row r="899" spans="1:13" ht="142.5" thickBot="1" x14ac:dyDescent="0.3">
      <c r="A899" s="64" t="s">
        <v>1642</v>
      </c>
      <c r="B899" s="65" t="s">
        <v>1643</v>
      </c>
      <c r="C899" s="33" t="s">
        <v>37</v>
      </c>
      <c r="D899" s="66">
        <v>10</v>
      </c>
      <c r="E899" s="66">
        <v>7.2</v>
      </c>
      <c r="F899" s="66">
        <v>2.8</v>
      </c>
      <c r="G899" s="35">
        <f>SUM(E899/D899)</f>
        <v>0.72</v>
      </c>
      <c r="H899" s="33" t="s">
        <v>1644</v>
      </c>
      <c r="I899" s="36" t="s">
        <v>18</v>
      </c>
      <c r="J899" s="37">
        <v>3</v>
      </c>
      <c r="K899" s="38">
        <v>3</v>
      </c>
      <c r="L899" s="33" t="s">
        <v>1645</v>
      </c>
      <c r="M899" s="39"/>
    </row>
    <row r="900" spans="1:13" ht="47.25" x14ac:dyDescent="0.25">
      <c r="A900" s="157" t="s">
        <v>1646</v>
      </c>
      <c r="B900" s="160" t="s">
        <v>1647</v>
      </c>
      <c r="C900" s="17"/>
      <c r="D900" s="18">
        <f>SUM(D901:D902)</f>
        <v>448.3</v>
      </c>
      <c r="E900" s="18">
        <f>SUM(E901:E902)</f>
        <v>316.7</v>
      </c>
      <c r="F900" s="18">
        <f>SUM(F901:F902)</f>
        <v>131.69999999999999</v>
      </c>
      <c r="G900" s="19">
        <f>SUM(E900/D900)</f>
        <v>0.7064465759536025</v>
      </c>
      <c r="H900" s="17" t="s">
        <v>1648</v>
      </c>
      <c r="I900" s="20" t="s">
        <v>27</v>
      </c>
      <c r="J900" s="21">
        <v>100</v>
      </c>
      <c r="K900" s="21">
        <v>100</v>
      </c>
      <c r="L900" s="17"/>
      <c r="M900" s="22"/>
    </row>
    <row r="901" spans="1:13" ht="48" thickBot="1" x14ac:dyDescent="0.3">
      <c r="A901" s="159"/>
      <c r="B901" s="162"/>
      <c r="C901" s="67"/>
      <c r="D901" s="68"/>
      <c r="E901" s="68"/>
      <c r="F901" s="68"/>
      <c r="G901" s="68"/>
      <c r="H901" s="67" t="s">
        <v>1649</v>
      </c>
      <c r="I901" s="69" t="s">
        <v>18</v>
      </c>
      <c r="J901" s="70">
        <v>38</v>
      </c>
      <c r="K901" s="70">
        <v>36</v>
      </c>
      <c r="L901" s="67"/>
      <c r="M901" s="71"/>
    </row>
    <row r="902" spans="1:13" ht="63.75" thickBot="1" x14ac:dyDescent="0.3">
      <c r="A902" s="25" t="s">
        <v>1650</v>
      </c>
      <c r="B902" s="26" t="s">
        <v>1651</v>
      </c>
      <c r="C902" s="27"/>
      <c r="D902" s="28">
        <f>D903+D904+D906+D908+D911+D914+D917</f>
        <v>448.3</v>
      </c>
      <c r="E902" s="28">
        <f>E903+E904+E906+E908+E911+E914+E917-0.1</f>
        <v>316.7</v>
      </c>
      <c r="F902" s="28">
        <f>F903+F904+F906+F908+F911+F914+F917+0.1</f>
        <v>131.69999999999999</v>
      </c>
      <c r="G902" s="29">
        <f>SUM(E902/D902)</f>
        <v>0.7064465759536025</v>
      </c>
      <c r="H902" s="129"/>
      <c r="I902" s="130"/>
      <c r="J902" s="130"/>
      <c r="K902" s="130"/>
      <c r="L902" s="130"/>
      <c r="M902" s="131"/>
    </row>
    <row r="903" spans="1:13" ht="95.25" thickBot="1" x14ac:dyDescent="0.3">
      <c r="A903" s="64" t="s">
        <v>1652</v>
      </c>
      <c r="B903" s="65" t="s">
        <v>1653</v>
      </c>
      <c r="C903" s="33" t="s">
        <v>23</v>
      </c>
      <c r="D903" s="66">
        <v>43</v>
      </c>
      <c r="E903" s="66">
        <v>43</v>
      </c>
      <c r="F903" s="66"/>
      <c r="G903" s="35">
        <f>SUM(E903/D903)</f>
        <v>1</v>
      </c>
      <c r="H903" s="33" t="s">
        <v>1654</v>
      </c>
      <c r="I903" s="36" t="s">
        <v>340</v>
      </c>
      <c r="J903" s="37">
        <v>7</v>
      </c>
      <c r="K903" s="38">
        <v>7</v>
      </c>
      <c r="L903" s="33"/>
      <c r="M903" s="39" t="s">
        <v>1915</v>
      </c>
    </row>
    <row r="904" spans="1:13" ht="78.75" x14ac:dyDescent="0.25">
      <c r="A904" s="151" t="s">
        <v>1655</v>
      </c>
      <c r="B904" s="154" t="s">
        <v>1656</v>
      </c>
      <c r="C904" s="33"/>
      <c r="D904" s="34">
        <f>SUM(D905:D905)</f>
        <v>73.8</v>
      </c>
      <c r="E904" s="34">
        <f>SUM(E905:E905)</f>
        <v>71.900000000000006</v>
      </c>
      <c r="F904" s="34">
        <f>SUM(F905:F905)</f>
        <v>2</v>
      </c>
      <c r="G904" s="35">
        <f>SUM(E904/D904)</f>
        <v>0.97425474254742561</v>
      </c>
      <c r="H904" s="33" t="s">
        <v>1657</v>
      </c>
      <c r="I904" s="36" t="s">
        <v>18</v>
      </c>
      <c r="J904" s="37">
        <v>10</v>
      </c>
      <c r="K904" s="60">
        <v>13</v>
      </c>
      <c r="L904" s="33"/>
      <c r="M904" s="39" t="s">
        <v>1916</v>
      </c>
    </row>
    <row r="905" spans="1:13" ht="16.5" thickBot="1" x14ac:dyDescent="0.3">
      <c r="A905" s="153"/>
      <c r="B905" s="156"/>
      <c r="C905" s="41" t="s">
        <v>78</v>
      </c>
      <c r="D905" s="42">
        <v>73.8</v>
      </c>
      <c r="E905" s="42">
        <v>71.900000000000006</v>
      </c>
      <c r="F905" s="42">
        <v>2</v>
      </c>
      <c r="G905" s="61">
        <f>SUM(E905/D905)</f>
        <v>0.97425474254742561</v>
      </c>
      <c r="H905" s="41"/>
      <c r="I905" s="43"/>
      <c r="J905" s="44"/>
      <c r="K905" s="44"/>
      <c r="L905" s="41"/>
      <c r="M905" s="45"/>
    </row>
    <row r="906" spans="1:13" ht="92.25" customHeight="1" x14ac:dyDescent="0.25">
      <c r="A906" s="151" t="s">
        <v>1658</v>
      </c>
      <c r="B906" s="154" t="s">
        <v>1659</v>
      </c>
      <c r="C906" s="33" t="s">
        <v>23</v>
      </c>
      <c r="D906" s="34">
        <f>SUM(D907:D907)+30.5</f>
        <v>30.5</v>
      </c>
      <c r="E906" s="34">
        <f>SUM(E907:E907)+29.9</f>
        <v>29.9</v>
      </c>
      <c r="F906" s="34">
        <f>SUM(F907:F907)+0.6</f>
        <v>0.6</v>
      </c>
      <c r="G906" s="35">
        <f>SUM(E906/D906)</f>
        <v>0.98032786885245893</v>
      </c>
      <c r="H906" s="33" t="s">
        <v>1657</v>
      </c>
      <c r="I906" s="36" t="s">
        <v>18</v>
      </c>
      <c r="J906" s="37">
        <v>10</v>
      </c>
      <c r="K906" s="62">
        <v>9</v>
      </c>
      <c r="L906" s="33" t="s">
        <v>1699</v>
      </c>
      <c r="M906" s="39" t="s">
        <v>1700</v>
      </c>
    </row>
    <row r="907" spans="1:13" ht="32.25" thickBot="1" x14ac:dyDescent="0.3">
      <c r="A907" s="153"/>
      <c r="B907" s="156"/>
      <c r="C907" s="41"/>
      <c r="D907" s="42"/>
      <c r="E907" s="42"/>
      <c r="F907" s="42"/>
      <c r="G907" s="42"/>
      <c r="H907" s="41" t="s">
        <v>1660</v>
      </c>
      <c r="I907" s="43" t="s">
        <v>18</v>
      </c>
      <c r="J907" s="44">
        <v>1</v>
      </c>
      <c r="K907" s="49">
        <v>0</v>
      </c>
      <c r="L907" s="41"/>
      <c r="M907" s="45" t="s">
        <v>1917</v>
      </c>
    </row>
    <row r="908" spans="1:13" ht="126" x14ac:dyDescent="0.25">
      <c r="A908" s="151" t="s">
        <v>1661</v>
      </c>
      <c r="B908" s="154" t="s">
        <v>1662</v>
      </c>
      <c r="C908" s="33"/>
      <c r="D908" s="34">
        <f>SUM(D909:D910)</f>
        <v>51.7</v>
      </c>
      <c r="E908" s="34">
        <f>SUM(E909:E910)</f>
        <v>6.9</v>
      </c>
      <c r="F908" s="34">
        <f>SUM(F909:F910)</f>
        <v>44.8</v>
      </c>
      <c r="G908" s="53">
        <f t="shared" ref="G908:G914" si="36">SUM(E908/D908)</f>
        <v>0.13346228239845262</v>
      </c>
      <c r="H908" s="33" t="s">
        <v>1663</v>
      </c>
      <c r="I908" s="36" t="s">
        <v>18</v>
      </c>
      <c r="J908" s="37">
        <v>5</v>
      </c>
      <c r="K908" s="62">
        <v>3</v>
      </c>
      <c r="L908" s="33" t="s">
        <v>1664</v>
      </c>
      <c r="M908" s="39" t="s">
        <v>1918</v>
      </c>
    </row>
    <row r="909" spans="1:13" x14ac:dyDescent="0.25">
      <c r="A909" s="152"/>
      <c r="B909" s="155"/>
      <c r="C909" s="41" t="s">
        <v>23</v>
      </c>
      <c r="D909" s="42">
        <v>27.3</v>
      </c>
      <c r="E909" s="42"/>
      <c r="F909" s="42">
        <v>27.3</v>
      </c>
      <c r="G909" s="57">
        <f t="shared" si="36"/>
        <v>0</v>
      </c>
      <c r="H909" s="58"/>
      <c r="I909" s="43"/>
      <c r="J909" s="44"/>
      <c r="K909" s="44"/>
      <c r="L909" s="41"/>
      <c r="M909" s="45"/>
    </row>
    <row r="910" spans="1:13" ht="16.5" thickBot="1" x14ac:dyDescent="0.3">
      <c r="A910" s="153"/>
      <c r="B910" s="156"/>
      <c r="C910" s="41" t="s">
        <v>37</v>
      </c>
      <c r="D910" s="42">
        <v>24.4</v>
      </c>
      <c r="E910" s="42">
        <v>6.9</v>
      </c>
      <c r="F910" s="42">
        <v>17.5</v>
      </c>
      <c r="G910" s="61">
        <f t="shared" si="36"/>
        <v>0.28278688524590168</v>
      </c>
      <c r="H910" s="41"/>
      <c r="I910" s="43"/>
      <c r="J910" s="44"/>
      <c r="K910" s="44"/>
      <c r="L910" s="41"/>
      <c r="M910" s="45"/>
    </row>
    <row r="911" spans="1:13" ht="75" customHeight="1" x14ac:dyDescent="0.25">
      <c r="A911" s="151" t="s">
        <v>1665</v>
      </c>
      <c r="B911" s="154" t="s">
        <v>1666</v>
      </c>
      <c r="C911" s="33"/>
      <c r="D911" s="34">
        <f>SUM(D912:D913)</f>
        <v>234</v>
      </c>
      <c r="E911" s="34">
        <f>SUM(E912:E913)</f>
        <v>155.30000000000001</v>
      </c>
      <c r="F911" s="34">
        <f>SUM(F912:F913)</f>
        <v>78.7</v>
      </c>
      <c r="G911" s="53">
        <f t="shared" si="36"/>
        <v>0.66367521367521376</v>
      </c>
      <c r="H911" s="33" t="s">
        <v>1657</v>
      </c>
      <c r="I911" s="36" t="s">
        <v>18</v>
      </c>
      <c r="J911" s="37">
        <v>2</v>
      </c>
      <c r="K911" s="62">
        <v>1</v>
      </c>
      <c r="L911" s="33" t="s">
        <v>1702</v>
      </c>
      <c r="M911" s="39" t="s">
        <v>1919</v>
      </c>
    </row>
    <row r="912" spans="1:13" x14ac:dyDescent="0.25">
      <c r="A912" s="152"/>
      <c r="B912" s="155"/>
      <c r="C912" s="41" t="s">
        <v>37</v>
      </c>
      <c r="D912" s="42">
        <v>34</v>
      </c>
      <c r="E912" s="42">
        <v>9.9</v>
      </c>
      <c r="F912" s="42">
        <v>24.1</v>
      </c>
      <c r="G912" s="57">
        <f t="shared" si="36"/>
        <v>0.29117647058823531</v>
      </c>
      <c r="H912" s="58"/>
      <c r="I912" s="43"/>
      <c r="J912" s="44"/>
      <c r="K912" s="44"/>
      <c r="L912" s="41"/>
      <c r="M912" s="45"/>
    </row>
    <row r="913" spans="1:17" ht="16.5" thickBot="1" x14ac:dyDescent="0.3">
      <c r="A913" s="153"/>
      <c r="B913" s="156"/>
      <c r="C913" s="41" t="s">
        <v>23</v>
      </c>
      <c r="D913" s="42">
        <v>200</v>
      </c>
      <c r="E913" s="42">
        <v>145.4</v>
      </c>
      <c r="F913" s="42">
        <v>54.6</v>
      </c>
      <c r="G913" s="61">
        <f t="shared" si="36"/>
        <v>0.72699999999999998</v>
      </c>
      <c r="H913" s="41"/>
      <c r="I913" s="43"/>
      <c r="J913" s="44"/>
      <c r="K913" s="44"/>
      <c r="L913" s="41"/>
      <c r="M913" s="45"/>
    </row>
    <row r="914" spans="1:17" ht="299.25" x14ac:dyDescent="0.25">
      <c r="A914" s="151" t="s">
        <v>1667</v>
      </c>
      <c r="B914" s="154" t="s">
        <v>1576</v>
      </c>
      <c r="C914" s="33" t="s">
        <v>23</v>
      </c>
      <c r="D914" s="34">
        <f>SUM(D915:D916)+10.3</f>
        <v>10.3</v>
      </c>
      <c r="E914" s="34">
        <f>SUM(E915:E916)+9.8</f>
        <v>9.8000000000000007</v>
      </c>
      <c r="F914" s="34">
        <f>SUM(F915:F916)+0.5</f>
        <v>0.5</v>
      </c>
      <c r="G914" s="35">
        <f t="shared" si="36"/>
        <v>0.95145631067961167</v>
      </c>
      <c r="H914" s="33" t="s">
        <v>1657</v>
      </c>
      <c r="I914" s="36" t="s">
        <v>18</v>
      </c>
      <c r="J914" s="37">
        <v>5</v>
      </c>
      <c r="K914" s="60">
        <v>7</v>
      </c>
      <c r="L914" s="33"/>
      <c r="M914" s="39" t="s">
        <v>1920</v>
      </c>
    </row>
    <row r="915" spans="1:17" ht="47.25" x14ac:dyDescent="0.25">
      <c r="A915" s="152"/>
      <c r="B915" s="155"/>
      <c r="C915" s="41"/>
      <c r="D915" s="42"/>
      <c r="E915" s="42"/>
      <c r="F915" s="42"/>
      <c r="G915" s="42"/>
      <c r="H915" s="41" t="s">
        <v>1668</v>
      </c>
      <c r="I915" s="43" t="s">
        <v>340</v>
      </c>
      <c r="J915" s="44">
        <v>1000</v>
      </c>
      <c r="K915" s="72">
        <v>849</v>
      </c>
      <c r="L915" s="41"/>
      <c r="M915" s="45" t="s">
        <v>1921</v>
      </c>
    </row>
    <row r="916" spans="1:17" ht="63.75" thickBot="1" x14ac:dyDescent="0.3">
      <c r="A916" s="153"/>
      <c r="B916" s="156"/>
      <c r="C916" s="41"/>
      <c r="D916" s="42"/>
      <c r="E916" s="42"/>
      <c r="F916" s="42"/>
      <c r="G916" s="42"/>
      <c r="H916" s="41" t="s">
        <v>1669</v>
      </c>
      <c r="I916" s="43" t="s">
        <v>27</v>
      </c>
      <c r="J916" s="44">
        <v>0.6</v>
      </c>
      <c r="K916" s="47">
        <v>0.56000000000000005</v>
      </c>
      <c r="L916" s="41"/>
      <c r="M916" s="45"/>
    </row>
    <row r="917" spans="1:17" ht="47.25" x14ac:dyDescent="0.25">
      <c r="A917" s="151" t="s">
        <v>1670</v>
      </c>
      <c r="B917" s="154" t="s">
        <v>1671</v>
      </c>
      <c r="C917" s="33" t="s">
        <v>23</v>
      </c>
      <c r="D917" s="34">
        <f>SUM(D918:D920)+5</f>
        <v>5</v>
      </c>
      <c r="E917" s="34"/>
      <c r="F917" s="34">
        <f>SUM(F918:F920)+5</f>
        <v>5</v>
      </c>
      <c r="G917" s="35">
        <f>SUM(E917/D917)</f>
        <v>0</v>
      </c>
      <c r="H917" s="33" t="s">
        <v>1672</v>
      </c>
      <c r="I917" s="36" t="s">
        <v>18</v>
      </c>
      <c r="J917" s="37">
        <v>1</v>
      </c>
      <c r="K917" s="54">
        <v>0</v>
      </c>
      <c r="L917" s="33"/>
      <c r="M917" s="39"/>
    </row>
    <row r="918" spans="1:17" ht="47.25" x14ac:dyDescent="0.25">
      <c r="A918" s="152"/>
      <c r="B918" s="155"/>
      <c r="C918" s="41"/>
      <c r="D918" s="42"/>
      <c r="E918" s="42"/>
      <c r="F918" s="42"/>
      <c r="G918" s="42"/>
      <c r="H918" s="41" t="s">
        <v>1673</v>
      </c>
      <c r="I918" s="43" t="s">
        <v>18</v>
      </c>
      <c r="J918" s="44">
        <v>15000</v>
      </c>
      <c r="K918" s="49">
        <v>0</v>
      </c>
      <c r="L918" s="41"/>
      <c r="M918" s="45" t="s">
        <v>1922</v>
      </c>
    </row>
    <row r="919" spans="1:17" ht="31.5" x14ac:dyDescent="0.25">
      <c r="A919" s="152"/>
      <c r="B919" s="155"/>
      <c r="C919" s="41"/>
      <c r="D919" s="42"/>
      <c r="E919" s="42"/>
      <c r="F919" s="42"/>
      <c r="G919" s="42"/>
      <c r="H919" s="41" t="s">
        <v>1674</v>
      </c>
      <c r="I919" s="43" t="s">
        <v>18</v>
      </c>
      <c r="J919" s="44"/>
      <c r="K919" s="44"/>
      <c r="L919" s="41"/>
      <c r="M919" s="45"/>
    </row>
    <row r="920" spans="1:17" ht="111" thickBot="1" x14ac:dyDescent="0.3">
      <c r="A920" s="153"/>
      <c r="B920" s="156"/>
      <c r="C920" s="95"/>
      <c r="D920" s="96"/>
      <c r="E920" s="96"/>
      <c r="F920" s="96"/>
      <c r="G920" s="96"/>
      <c r="H920" s="95" t="s">
        <v>1675</v>
      </c>
      <c r="I920" s="97" t="s">
        <v>18</v>
      </c>
      <c r="J920" s="98">
        <v>1</v>
      </c>
      <c r="K920" s="99">
        <v>0</v>
      </c>
      <c r="L920" s="95"/>
      <c r="M920" s="100"/>
      <c r="O920" s="101"/>
      <c r="P920" s="101"/>
      <c r="Q920" s="101"/>
    </row>
    <row r="921" spans="1:17" s="101" customFormat="1" x14ac:dyDescent="0.25">
      <c r="A921" s="102"/>
      <c r="B921" s="102"/>
      <c r="C921" s="103"/>
      <c r="D921" s="104"/>
      <c r="E921" s="104"/>
      <c r="F921" s="104"/>
      <c r="G921" s="104"/>
      <c r="H921" s="103"/>
      <c r="I921" s="105"/>
      <c r="J921" s="106"/>
      <c r="K921" s="106"/>
      <c r="L921" s="103"/>
      <c r="M921" s="103"/>
    </row>
    <row r="922" spans="1:17" s="101" customFormat="1" x14ac:dyDescent="0.25">
      <c r="A922" s="102"/>
      <c r="B922" s="102"/>
      <c r="C922" s="103"/>
      <c r="D922" s="104"/>
      <c r="E922" s="104"/>
      <c r="F922" s="104"/>
      <c r="G922" s="104"/>
      <c r="H922" s="103"/>
      <c r="I922" s="105"/>
      <c r="J922" s="106"/>
      <c r="K922" s="106"/>
      <c r="L922" s="103"/>
      <c r="M922" s="103"/>
    </row>
    <row r="923" spans="1:17" s="101" customFormat="1" x14ac:dyDescent="0.25">
      <c r="A923" s="102"/>
      <c r="B923" s="102"/>
      <c r="C923" s="103"/>
      <c r="D923" s="104"/>
      <c r="E923" s="104"/>
      <c r="F923" s="104"/>
      <c r="G923" s="104"/>
      <c r="H923" s="103"/>
      <c r="I923" s="105"/>
      <c r="J923" s="106"/>
      <c r="K923" s="106"/>
      <c r="L923" s="103"/>
      <c r="M923" s="103"/>
    </row>
    <row r="924" spans="1:17" s="101" customFormat="1" x14ac:dyDescent="0.25">
      <c r="A924" s="102"/>
      <c r="B924" s="102"/>
      <c r="C924" s="103"/>
      <c r="D924" s="104"/>
      <c r="E924" s="104"/>
      <c r="F924" s="104"/>
      <c r="G924" s="104"/>
      <c r="H924" s="103"/>
      <c r="I924" s="105"/>
      <c r="J924" s="106"/>
      <c r="K924" s="106"/>
      <c r="L924" s="103"/>
      <c r="M924" s="103"/>
    </row>
    <row r="925" spans="1:17" s="101" customFormat="1" x14ac:dyDescent="0.25">
      <c r="A925" s="102"/>
      <c r="B925" s="102"/>
      <c r="C925" s="103"/>
      <c r="D925" s="104"/>
      <c r="E925" s="104"/>
      <c r="F925" s="104"/>
      <c r="G925" s="104"/>
      <c r="H925" s="103"/>
      <c r="I925" s="105"/>
      <c r="J925" s="106"/>
      <c r="K925" s="106"/>
      <c r="L925" s="103"/>
      <c r="M925" s="103"/>
      <c r="O925" s="5"/>
      <c r="P925" s="5"/>
      <c r="Q925" s="5"/>
    </row>
    <row r="926" spans="1:17" ht="78.75" customHeight="1" x14ac:dyDescent="0.25">
      <c r="A926" s="136" t="s">
        <v>0</v>
      </c>
      <c r="B926" s="136" t="s">
        <v>1</v>
      </c>
      <c r="C926" s="123" t="s">
        <v>3</v>
      </c>
      <c r="D926" s="150" t="s">
        <v>1729</v>
      </c>
      <c r="E926" s="125" t="s">
        <v>4</v>
      </c>
      <c r="F926" s="114"/>
    </row>
    <row r="927" spans="1:17" x14ac:dyDescent="0.25">
      <c r="A927" s="136"/>
      <c r="B927" s="136"/>
      <c r="C927" s="124"/>
      <c r="D927" s="150"/>
      <c r="E927" s="125"/>
      <c r="F927" s="115"/>
    </row>
    <row r="928" spans="1:17" ht="47.25" x14ac:dyDescent="0.25">
      <c r="A928" s="107" t="s">
        <v>1676</v>
      </c>
      <c r="B928" s="107" t="s">
        <v>1677</v>
      </c>
      <c r="C928" s="108">
        <f>SUM(C929:C940)+0.1</f>
        <v>203466.6</v>
      </c>
      <c r="D928" s="112">
        <f>SUM(D929:D940)+0.1</f>
        <v>181681.1</v>
      </c>
      <c r="E928" s="119">
        <f>SUM(E929:E940)-0.1</f>
        <v>21785.5</v>
      </c>
      <c r="F928" s="116"/>
    </row>
    <row r="929" spans="1:6" ht="31.5" x14ac:dyDescent="0.25">
      <c r="A929" s="107" t="s">
        <v>23</v>
      </c>
      <c r="B929" s="107" t="s">
        <v>1678</v>
      </c>
      <c r="C929" s="42">
        <v>89092</v>
      </c>
      <c r="D929" s="56">
        <v>81686.5</v>
      </c>
      <c r="E929" s="120">
        <v>7405.5</v>
      </c>
      <c r="F929" s="117"/>
    </row>
    <row r="930" spans="1:6" x14ac:dyDescent="0.25">
      <c r="A930" s="107" t="s">
        <v>217</v>
      </c>
      <c r="B930" s="107" t="s">
        <v>1679</v>
      </c>
      <c r="C930" s="42">
        <v>4160</v>
      </c>
      <c r="D930" s="56">
        <v>3127.1</v>
      </c>
      <c r="E930" s="120">
        <v>1032.9000000000001</v>
      </c>
      <c r="F930" s="117"/>
    </row>
    <row r="931" spans="1:6" ht="31.5" x14ac:dyDescent="0.25">
      <c r="A931" s="107" t="s">
        <v>985</v>
      </c>
      <c r="B931" s="107" t="s">
        <v>1680</v>
      </c>
      <c r="C931" s="42">
        <v>44317</v>
      </c>
      <c r="D931" s="56">
        <v>44199.5</v>
      </c>
      <c r="E931" s="120">
        <v>117.5</v>
      </c>
      <c r="F931" s="117"/>
    </row>
    <row r="932" spans="1:6" ht="31.5" x14ac:dyDescent="0.25">
      <c r="A932" s="107" t="s">
        <v>792</v>
      </c>
      <c r="B932" s="107" t="s">
        <v>1681</v>
      </c>
      <c r="C932" s="42">
        <v>8030.3</v>
      </c>
      <c r="D932" s="56">
        <v>7581.2</v>
      </c>
      <c r="E932" s="120">
        <v>449.2</v>
      </c>
      <c r="F932" s="117"/>
    </row>
    <row r="933" spans="1:6" ht="31.5" x14ac:dyDescent="0.25">
      <c r="A933" s="107" t="s">
        <v>78</v>
      </c>
      <c r="B933" s="107" t="s">
        <v>1682</v>
      </c>
      <c r="C933" s="42">
        <v>15563.2</v>
      </c>
      <c r="D933" s="56">
        <v>13683.9</v>
      </c>
      <c r="E933" s="120">
        <v>1879.3</v>
      </c>
      <c r="F933" s="117"/>
    </row>
    <row r="934" spans="1:6" ht="47.25" x14ac:dyDescent="0.25">
      <c r="A934" s="107" t="s">
        <v>502</v>
      </c>
      <c r="B934" s="107" t="s">
        <v>1683</v>
      </c>
      <c r="C934" s="42">
        <v>5519</v>
      </c>
      <c r="D934" s="56">
        <v>5519</v>
      </c>
      <c r="E934" s="120">
        <v>0</v>
      </c>
      <c r="F934" s="117"/>
    </row>
    <row r="935" spans="1:6" ht="31.5" x14ac:dyDescent="0.25">
      <c r="A935" s="107" t="s">
        <v>881</v>
      </c>
      <c r="B935" s="107" t="s">
        <v>1684</v>
      </c>
      <c r="C935" s="42">
        <v>2615</v>
      </c>
      <c r="D935" s="56">
        <v>800</v>
      </c>
      <c r="E935" s="120">
        <v>1815</v>
      </c>
      <c r="F935" s="117"/>
    </row>
    <row r="936" spans="1:6" ht="31.5" x14ac:dyDescent="0.25">
      <c r="A936" s="107" t="s">
        <v>208</v>
      </c>
      <c r="B936" s="107" t="s">
        <v>1685</v>
      </c>
      <c r="C936" s="42">
        <v>10442.299999999999</v>
      </c>
      <c r="D936" s="56">
        <v>4442.3</v>
      </c>
      <c r="E936" s="120">
        <v>6000</v>
      </c>
      <c r="F936" s="117"/>
    </row>
    <row r="937" spans="1:6" ht="31.5" x14ac:dyDescent="0.25">
      <c r="A937" s="107" t="s">
        <v>183</v>
      </c>
      <c r="B937" s="107" t="s">
        <v>1686</v>
      </c>
      <c r="C937" s="42">
        <v>5782.6</v>
      </c>
      <c r="D937" s="56">
        <v>4877.5</v>
      </c>
      <c r="E937" s="120">
        <v>905.1</v>
      </c>
      <c r="F937" s="117"/>
    </row>
    <row r="938" spans="1:6" ht="47.25" x14ac:dyDescent="0.25">
      <c r="A938" s="107" t="s">
        <v>37</v>
      </c>
      <c r="B938" s="107" t="s">
        <v>1687</v>
      </c>
      <c r="C938" s="42">
        <v>17296.2</v>
      </c>
      <c r="D938" s="56">
        <v>15286</v>
      </c>
      <c r="E938" s="120">
        <v>2010.1</v>
      </c>
      <c r="F938" s="117"/>
    </row>
    <row r="939" spans="1:6" ht="47.25" x14ac:dyDescent="0.25">
      <c r="A939" s="107" t="s">
        <v>290</v>
      </c>
      <c r="B939" s="107" t="s">
        <v>1688</v>
      </c>
      <c r="C939" s="42">
        <v>315</v>
      </c>
      <c r="D939" s="56">
        <v>227.1</v>
      </c>
      <c r="E939" s="120">
        <v>87.9</v>
      </c>
      <c r="F939" s="117"/>
    </row>
    <row r="940" spans="1:6" ht="63" x14ac:dyDescent="0.25">
      <c r="A940" s="107" t="s">
        <v>320</v>
      </c>
      <c r="B940" s="107" t="s">
        <v>1689</v>
      </c>
      <c r="C940" s="42">
        <v>333.9</v>
      </c>
      <c r="D940" s="56">
        <v>250.9</v>
      </c>
      <c r="E940" s="120">
        <v>83.1</v>
      </c>
      <c r="F940" s="117"/>
    </row>
    <row r="941" spans="1:6" ht="31.5" x14ac:dyDescent="0.25">
      <c r="A941" s="107" t="s">
        <v>1690</v>
      </c>
      <c r="B941" s="107" t="s">
        <v>1691</v>
      </c>
      <c r="C941" s="108">
        <f>SUM(C942:C944)</f>
        <v>35529.300000000003</v>
      </c>
      <c r="D941" s="112">
        <f>SUM(D942:D944)</f>
        <v>32596.899999999998</v>
      </c>
      <c r="E941" s="119">
        <f>SUM(E942:E944)</f>
        <v>2932.4</v>
      </c>
      <c r="F941" s="116"/>
    </row>
    <row r="942" spans="1:6" ht="31.5" x14ac:dyDescent="0.25">
      <c r="A942" s="107" t="s">
        <v>186</v>
      </c>
      <c r="B942" s="107" t="s">
        <v>1692</v>
      </c>
      <c r="C942" s="42">
        <v>31145.9</v>
      </c>
      <c r="D942" s="56">
        <v>29825.1</v>
      </c>
      <c r="E942" s="120">
        <v>1320.7</v>
      </c>
      <c r="F942" s="117"/>
    </row>
    <row r="943" spans="1:6" ht="31.5" x14ac:dyDescent="0.25">
      <c r="A943" s="107" t="s">
        <v>213</v>
      </c>
      <c r="B943" s="107" t="s">
        <v>1693</v>
      </c>
      <c r="C943" s="42">
        <v>3041.3</v>
      </c>
      <c r="D943" s="56">
        <v>1987.7</v>
      </c>
      <c r="E943" s="120">
        <v>1053.7</v>
      </c>
      <c r="F943" s="117"/>
    </row>
    <row r="944" spans="1:6" ht="31.5" x14ac:dyDescent="0.25">
      <c r="A944" s="107" t="s">
        <v>189</v>
      </c>
      <c r="B944" s="107" t="s">
        <v>1694</v>
      </c>
      <c r="C944" s="42">
        <v>1342.1</v>
      </c>
      <c r="D944" s="56">
        <v>784.1</v>
      </c>
      <c r="E944" s="120">
        <v>558</v>
      </c>
      <c r="F944" s="117"/>
    </row>
    <row r="945" spans="1:6" x14ac:dyDescent="0.25">
      <c r="A945" s="109"/>
      <c r="B945" s="110" t="s">
        <v>1695</v>
      </c>
      <c r="C945" s="111">
        <f>C928+C941</f>
        <v>238995.90000000002</v>
      </c>
      <c r="D945" s="113">
        <f>D928+D941</f>
        <v>214278</v>
      </c>
      <c r="E945" s="121">
        <f>E928+E941</f>
        <v>24717.9</v>
      </c>
      <c r="F945" s="118"/>
    </row>
  </sheetData>
  <mergeCells count="450">
    <mergeCell ref="A917:A920"/>
    <mergeCell ref="B917:B920"/>
    <mergeCell ref="A908:A910"/>
    <mergeCell ref="B908:B910"/>
    <mergeCell ref="A911:A913"/>
    <mergeCell ref="B911:B913"/>
    <mergeCell ref="A914:A916"/>
    <mergeCell ref="B914:B916"/>
    <mergeCell ref="A900:A901"/>
    <mergeCell ref="B900:B901"/>
    <mergeCell ref="A904:A905"/>
    <mergeCell ref="B904:B905"/>
    <mergeCell ref="A906:A907"/>
    <mergeCell ref="B906:B907"/>
    <mergeCell ref="A887:A889"/>
    <mergeCell ref="B887:B889"/>
    <mergeCell ref="A891:A892"/>
    <mergeCell ref="B891:B892"/>
    <mergeCell ref="A893:A895"/>
    <mergeCell ref="B893:B895"/>
    <mergeCell ref="A873:A874"/>
    <mergeCell ref="B873:B874"/>
    <mergeCell ref="A879:A882"/>
    <mergeCell ref="B879:B882"/>
    <mergeCell ref="A883:A886"/>
    <mergeCell ref="B883:B886"/>
    <mergeCell ref="A846:A848"/>
    <mergeCell ref="B846:B848"/>
    <mergeCell ref="A849:A851"/>
    <mergeCell ref="B849:B851"/>
    <mergeCell ref="A871:A872"/>
    <mergeCell ref="B871:B872"/>
    <mergeCell ref="A835:A837"/>
    <mergeCell ref="B835:B837"/>
    <mergeCell ref="A838:A840"/>
    <mergeCell ref="B838:B840"/>
    <mergeCell ref="A844:A845"/>
    <mergeCell ref="B844:B845"/>
    <mergeCell ref="A811:A821"/>
    <mergeCell ref="B811:B821"/>
    <mergeCell ref="A822:A827"/>
    <mergeCell ref="B822:B827"/>
    <mergeCell ref="A832:A834"/>
    <mergeCell ref="B832:B834"/>
    <mergeCell ref="A800:A802"/>
    <mergeCell ref="B800:B802"/>
    <mergeCell ref="A803:A805"/>
    <mergeCell ref="B803:B805"/>
    <mergeCell ref="A807:A809"/>
    <mergeCell ref="B807:B809"/>
    <mergeCell ref="A772:A773"/>
    <mergeCell ref="B772:B773"/>
    <mergeCell ref="A789:A790"/>
    <mergeCell ref="B789:B790"/>
    <mergeCell ref="A794:A796"/>
    <mergeCell ref="B794:B796"/>
    <mergeCell ref="A760:A762"/>
    <mergeCell ref="B760:B762"/>
    <mergeCell ref="A765:A767"/>
    <mergeCell ref="B765:B767"/>
    <mergeCell ref="A768:A770"/>
    <mergeCell ref="B768:B770"/>
    <mergeCell ref="A750:A752"/>
    <mergeCell ref="B750:B752"/>
    <mergeCell ref="A753:A755"/>
    <mergeCell ref="B753:B755"/>
    <mergeCell ref="A756:A758"/>
    <mergeCell ref="B756:B758"/>
    <mergeCell ref="A742:A743"/>
    <mergeCell ref="B742:B743"/>
    <mergeCell ref="A744:A746"/>
    <mergeCell ref="B744:B746"/>
    <mergeCell ref="A747:A749"/>
    <mergeCell ref="B747:B749"/>
    <mergeCell ref="A731:A732"/>
    <mergeCell ref="B731:B732"/>
    <mergeCell ref="A733:A736"/>
    <mergeCell ref="B733:B736"/>
    <mergeCell ref="A738:A740"/>
    <mergeCell ref="B738:B740"/>
    <mergeCell ref="A718:A721"/>
    <mergeCell ref="B718:B721"/>
    <mergeCell ref="A724:A725"/>
    <mergeCell ref="B724:B725"/>
    <mergeCell ref="A726:A730"/>
    <mergeCell ref="B726:B730"/>
    <mergeCell ref="A706:A709"/>
    <mergeCell ref="B706:B709"/>
    <mergeCell ref="A710:A713"/>
    <mergeCell ref="B710:B713"/>
    <mergeCell ref="A714:A717"/>
    <mergeCell ref="B714:B717"/>
    <mergeCell ref="A697:A700"/>
    <mergeCell ref="B697:B700"/>
    <mergeCell ref="A701:A703"/>
    <mergeCell ref="B701:B703"/>
    <mergeCell ref="A704:A705"/>
    <mergeCell ref="B704:B705"/>
    <mergeCell ref="A678:A683"/>
    <mergeCell ref="B678:B683"/>
    <mergeCell ref="A684:A692"/>
    <mergeCell ref="B684:B692"/>
    <mergeCell ref="A693:A696"/>
    <mergeCell ref="B693:B696"/>
    <mergeCell ref="A667:A670"/>
    <mergeCell ref="B667:B670"/>
    <mergeCell ref="A671:A673"/>
    <mergeCell ref="B671:B673"/>
    <mergeCell ref="A674:A677"/>
    <mergeCell ref="B674:B677"/>
    <mergeCell ref="A656:A657"/>
    <mergeCell ref="B656:B657"/>
    <mergeCell ref="A659:A661"/>
    <mergeCell ref="B659:B661"/>
    <mergeCell ref="A663:A665"/>
    <mergeCell ref="B663:B665"/>
    <mergeCell ref="A645:A649"/>
    <mergeCell ref="B645:B649"/>
    <mergeCell ref="A650:A652"/>
    <mergeCell ref="B650:B652"/>
    <mergeCell ref="A653:A655"/>
    <mergeCell ref="B653:B655"/>
    <mergeCell ref="A630:A635"/>
    <mergeCell ref="B630:B635"/>
    <mergeCell ref="A636:A638"/>
    <mergeCell ref="B636:B638"/>
    <mergeCell ref="A640:A643"/>
    <mergeCell ref="B640:B643"/>
    <mergeCell ref="A617:A619"/>
    <mergeCell ref="B617:B619"/>
    <mergeCell ref="A620:A624"/>
    <mergeCell ref="B620:B624"/>
    <mergeCell ref="A625:A629"/>
    <mergeCell ref="B625:B629"/>
    <mergeCell ref="A606:A608"/>
    <mergeCell ref="B606:B608"/>
    <mergeCell ref="A609:A612"/>
    <mergeCell ref="B609:B612"/>
    <mergeCell ref="A613:A615"/>
    <mergeCell ref="B613:B615"/>
    <mergeCell ref="A588:A591"/>
    <mergeCell ref="B588:B591"/>
    <mergeCell ref="A593:A596"/>
    <mergeCell ref="B593:B596"/>
    <mergeCell ref="A603:A605"/>
    <mergeCell ref="B603:B605"/>
    <mergeCell ref="A576:A579"/>
    <mergeCell ref="B576:B579"/>
    <mergeCell ref="A580:A582"/>
    <mergeCell ref="B580:B582"/>
    <mergeCell ref="A583:A587"/>
    <mergeCell ref="B583:B587"/>
    <mergeCell ref="A566:A570"/>
    <mergeCell ref="B566:B570"/>
    <mergeCell ref="A571:A572"/>
    <mergeCell ref="B571:B572"/>
    <mergeCell ref="A573:A575"/>
    <mergeCell ref="B573:B575"/>
    <mergeCell ref="A555:A557"/>
    <mergeCell ref="B555:B557"/>
    <mergeCell ref="A558:A562"/>
    <mergeCell ref="B558:B562"/>
    <mergeCell ref="A564:A565"/>
    <mergeCell ref="B564:B565"/>
    <mergeCell ref="A541:A542"/>
    <mergeCell ref="B541:B542"/>
    <mergeCell ref="A544:A546"/>
    <mergeCell ref="B544:B546"/>
    <mergeCell ref="A551:A552"/>
    <mergeCell ref="B551:B552"/>
    <mergeCell ref="A517:A525"/>
    <mergeCell ref="B517:B525"/>
    <mergeCell ref="A526:A527"/>
    <mergeCell ref="B526:B527"/>
    <mergeCell ref="A529:A537"/>
    <mergeCell ref="B529:B537"/>
    <mergeCell ref="A507:A509"/>
    <mergeCell ref="B507:B509"/>
    <mergeCell ref="A510:A512"/>
    <mergeCell ref="B510:B512"/>
    <mergeCell ref="A514:A516"/>
    <mergeCell ref="B514:B516"/>
    <mergeCell ref="A499:A500"/>
    <mergeCell ref="B499:B500"/>
    <mergeCell ref="A502:A503"/>
    <mergeCell ref="B502:B503"/>
    <mergeCell ref="A505:A506"/>
    <mergeCell ref="B505:B506"/>
    <mergeCell ref="A471:A474"/>
    <mergeCell ref="B471:B474"/>
    <mergeCell ref="A475:A485"/>
    <mergeCell ref="B475:B485"/>
    <mergeCell ref="A489:A498"/>
    <mergeCell ref="B489:B498"/>
    <mergeCell ref="A455:A456"/>
    <mergeCell ref="B455:B456"/>
    <mergeCell ref="A458:A463"/>
    <mergeCell ref="B458:B463"/>
    <mergeCell ref="A465:A470"/>
    <mergeCell ref="B465:B470"/>
    <mergeCell ref="A435:A436"/>
    <mergeCell ref="B435:B436"/>
    <mergeCell ref="A437:A442"/>
    <mergeCell ref="B437:B442"/>
    <mergeCell ref="A444:A447"/>
    <mergeCell ref="B444:B447"/>
    <mergeCell ref="A426:A428"/>
    <mergeCell ref="B426:B428"/>
    <mergeCell ref="A429:A432"/>
    <mergeCell ref="B429:B432"/>
    <mergeCell ref="A433:A434"/>
    <mergeCell ref="B433:B434"/>
    <mergeCell ref="A410:A417"/>
    <mergeCell ref="B410:B417"/>
    <mergeCell ref="A418:A422"/>
    <mergeCell ref="B418:B422"/>
    <mergeCell ref="A423:A425"/>
    <mergeCell ref="B423:B425"/>
    <mergeCell ref="A393:A394"/>
    <mergeCell ref="B393:B394"/>
    <mergeCell ref="A399:A402"/>
    <mergeCell ref="B399:B402"/>
    <mergeCell ref="A407:A408"/>
    <mergeCell ref="B407:B408"/>
    <mergeCell ref="A376:A379"/>
    <mergeCell ref="B376:B379"/>
    <mergeCell ref="A383:A385"/>
    <mergeCell ref="B383:B385"/>
    <mergeCell ref="A389:A390"/>
    <mergeCell ref="B389:B390"/>
    <mergeCell ref="A363:A365"/>
    <mergeCell ref="B363:B365"/>
    <mergeCell ref="A366:A368"/>
    <mergeCell ref="B366:B368"/>
    <mergeCell ref="A370:A375"/>
    <mergeCell ref="B370:B375"/>
    <mergeCell ref="A349:A354"/>
    <mergeCell ref="B349:B354"/>
    <mergeCell ref="A355:A357"/>
    <mergeCell ref="B355:B357"/>
    <mergeCell ref="A358:A361"/>
    <mergeCell ref="B358:B361"/>
    <mergeCell ref="A337:A339"/>
    <mergeCell ref="B337:B339"/>
    <mergeCell ref="A340:A344"/>
    <mergeCell ref="B340:B344"/>
    <mergeCell ref="A345:A347"/>
    <mergeCell ref="B345:B347"/>
    <mergeCell ref="A325:A328"/>
    <mergeCell ref="B325:B328"/>
    <mergeCell ref="A331:A333"/>
    <mergeCell ref="B331:B333"/>
    <mergeCell ref="A334:A335"/>
    <mergeCell ref="B334:B335"/>
    <mergeCell ref="A308:A311"/>
    <mergeCell ref="B308:B311"/>
    <mergeCell ref="A315:A320"/>
    <mergeCell ref="B315:B320"/>
    <mergeCell ref="A321:A323"/>
    <mergeCell ref="B321:B323"/>
    <mergeCell ref="A296:A302"/>
    <mergeCell ref="B296:B302"/>
    <mergeCell ref="A303:A305"/>
    <mergeCell ref="B303:B305"/>
    <mergeCell ref="A306:A307"/>
    <mergeCell ref="B306:B307"/>
    <mergeCell ref="A283:A285"/>
    <mergeCell ref="B283:B285"/>
    <mergeCell ref="A287:A292"/>
    <mergeCell ref="B287:B292"/>
    <mergeCell ref="A293:A295"/>
    <mergeCell ref="B293:B295"/>
    <mergeCell ref="A265:A271"/>
    <mergeCell ref="B265:B271"/>
    <mergeCell ref="A272:A275"/>
    <mergeCell ref="B272:B275"/>
    <mergeCell ref="A276:A280"/>
    <mergeCell ref="B276:B280"/>
    <mergeCell ref="A252:A255"/>
    <mergeCell ref="B252:B255"/>
    <mergeCell ref="A256:A260"/>
    <mergeCell ref="B256:B260"/>
    <mergeCell ref="A261:A264"/>
    <mergeCell ref="B261:B264"/>
    <mergeCell ref="A239:A242"/>
    <mergeCell ref="B239:B242"/>
    <mergeCell ref="A243:A245"/>
    <mergeCell ref="B243:B245"/>
    <mergeCell ref="A247:A251"/>
    <mergeCell ref="B247:B251"/>
    <mergeCell ref="A225:A227"/>
    <mergeCell ref="B225:B227"/>
    <mergeCell ref="A230:A232"/>
    <mergeCell ref="B230:B232"/>
    <mergeCell ref="A236:A238"/>
    <mergeCell ref="B236:B238"/>
    <mergeCell ref="A217:A218"/>
    <mergeCell ref="B217:B218"/>
    <mergeCell ref="A219:A221"/>
    <mergeCell ref="B219:B221"/>
    <mergeCell ref="A222:A224"/>
    <mergeCell ref="B222:B224"/>
    <mergeCell ref="A205:A207"/>
    <mergeCell ref="B205:B207"/>
    <mergeCell ref="A208:A210"/>
    <mergeCell ref="B208:B210"/>
    <mergeCell ref="A213:A215"/>
    <mergeCell ref="B213:B215"/>
    <mergeCell ref="A193:A196"/>
    <mergeCell ref="B193:B196"/>
    <mergeCell ref="A197:A200"/>
    <mergeCell ref="B197:B200"/>
    <mergeCell ref="A202:A204"/>
    <mergeCell ref="B202:B204"/>
    <mergeCell ref="A185:A188"/>
    <mergeCell ref="B185:B188"/>
    <mergeCell ref="A189:A191"/>
    <mergeCell ref="B189:B191"/>
    <mergeCell ref="A158:A161"/>
    <mergeCell ref="B158:B161"/>
    <mergeCell ref="A166:A169"/>
    <mergeCell ref="B166:B169"/>
    <mergeCell ref="A172:A174"/>
    <mergeCell ref="B172:B174"/>
    <mergeCell ref="A153:A156"/>
    <mergeCell ref="B153:B156"/>
    <mergeCell ref="A138:A139"/>
    <mergeCell ref="B138:B139"/>
    <mergeCell ref="A140:A143"/>
    <mergeCell ref="B140:B143"/>
    <mergeCell ref="A145:A148"/>
    <mergeCell ref="B145:B148"/>
    <mergeCell ref="A178:A182"/>
    <mergeCell ref="B178:B182"/>
    <mergeCell ref="B134:B136"/>
    <mergeCell ref="A110:A113"/>
    <mergeCell ref="B110:B113"/>
    <mergeCell ref="A116:A117"/>
    <mergeCell ref="B116:B117"/>
    <mergeCell ref="A126:A127"/>
    <mergeCell ref="B126:B127"/>
    <mergeCell ref="A149:A151"/>
    <mergeCell ref="B149:B151"/>
    <mergeCell ref="A12:A16"/>
    <mergeCell ref="B12:B16"/>
    <mergeCell ref="A17:A28"/>
    <mergeCell ref="B17:B28"/>
    <mergeCell ref="A101:A103"/>
    <mergeCell ref="B101:B103"/>
    <mergeCell ref="A104:A105"/>
    <mergeCell ref="B104:B105"/>
    <mergeCell ref="A107:A108"/>
    <mergeCell ref="B107:B108"/>
    <mergeCell ref="A92:A94"/>
    <mergeCell ref="B92:B94"/>
    <mergeCell ref="A95:A98"/>
    <mergeCell ref="B95:B98"/>
    <mergeCell ref="A99:A100"/>
    <mergeCell ref="B99:B100"/>
    <mergeCell ref="A926:A927"/>
    <mergeCell ref="B926:B927"/>
    <mergeCell ref="D926:D927"/>
    <mergeCell ref="A29:A31"/>
    <mergeCell ref="B29:B31"/>
    <mergeCell ref="A33:A37"/>
    <mergeCell ref="B33:B37"/>
    <mergeCell ref="A38:A41"/>
    <mergeCell ref="B38:B41"/>
    <mergeCell ref="A48:A50"/>
    <mergeCell ref="B48:B50"/>
    <mergeCell ref="A54:A55"/>
    <mergeCell ref="B54:B55"/>
    <mergeCell ref="A56:A62"/>
    <mergeCell ref="B56:B62"/>
    <mergeCell ref="A63:A77"/>
    <mergeCell ref="B63:B77"/>
    <mergeCell ref="A81:A91"/>
    <mergeCell ref="B81:B91"/>
    <mergeCell ref="A129:A131"/>
    <mergeCell ref="B129:B131"/>
    <mergeCell ref="A132:A133"/>
    <mergeCell ref="B132:B133"/>
    <mergeCell ref="A134:A136"/>
    <mergeCell ref="A6:A8"/>
    <mergeCell ref="B6:B8"/>
    <mergeCell ref="C6:C8"/>
    <mergeCell ref="E6:E8"/>
    <mergeCell ref="H7:H8"/>
    <mergeCell ref="I7:I8"/>
    <mergeCell ref="L7:L8"/>
    <mergeCell ref="M7:M8"/>
    <mergeCell ref="H6:M6"/>
    <mergeCell ref="J7:K7"/>
    <mergeCell ref="G6:G8"/>
    <mergeCell ref="F6:F8"/>
    <mergeCell ref="D6:D8"/>
    <mergeCell ref="H9:M9"/>
    <mergeCell ref="H11:M11"/>
    <mergeCell ref="H32:M32"/>
    <mergeCell ref="H42:M42"/>
    <mergeCell ref="H44:M44"/>
    <mergeCell ref="H47:M47"/>
    <mergeCell ref="H51:M51"/>
    <mergeCell ref="H80:M80"/>
    <mergeCell ref="H109:M109"/>
    <mergeCell ref="H118:M118"/>
    <mergeCell ref="H121:M121"/>
    <mergeCell ref="H123:M123"/>
    <mergeCell ref="H137:M137"/>
    <mergeCell ref="H144:M144"/>
    <mergeCell ref="H164:M164"/>
    <mergeCell ref="H170:M170"/>
    <mergeCell ref="H175:M175"/>
    <mergeCell ref="H177:M177"/>
    <mergeCell ref="H235:M235"/>
    <mergeCell ref="H246:M246"/>
    <mergeCell ref="H282:M282"/>
    <mergeCell ref="H314:M314"/>
    <mergeCell ref="H324:M324"/>
    <mergeCell ref="H329:M329"/>
    <mergeCell ref="H336:M336"/>
    <mergeCell ref="H380:M380"/>
    <mergeCell ref="H382:M382"/>
    <mergeCell ref="H388:M388"/>
    <mergeCell ref="H397:M397"/>
    <mergeCell ref="H406:M406"/>
    <mergeCell ref="H409:M409"/>
    <mergeCell ref="H443:M443"/>
    <mergeCell ref="H451:M451"/>
    <mergeCell ref="H454:M454"/>
    <mergeCell ref="H457:M457"/>
    <mergeCell ref="H488:M488"/>
    <mergeCell ref="H554:M554"/>
    <mergeCell ref="H600:M600"/>
    <mergeCell ref="H602:M602"/>
    <mergeCell ref="H616:M616"/>
    <mergeCell ref="H639:M639"/>
    <mergeCell ref="H662:M662"/>
    <mergeCell ref="H666:M666"/>
    <mergeCell ref="H722:M722"/>
    <mergeCell ref="H741:M741"/>
    <mergeCell ref="C926:C927"/>
    <mergeCell ref="E926:E927"/>
    <mergeCell ref="H806:M806"/>
    <mergeCell ref="H810:M810"/>
    <mergeCell ref="H854:M854"/>
    <mergeCell ref="H876:M876"/>
    <mergeCell ref="H890:M890"/>
    <mergeCell ref="H896:M896"/>
    <mergeCell ref="H902:M902"/>
  </mergeCells>
  <pageMargins left="0.4" right="0.4" top="0.4" bottom="0.4" header="0.4" footer="0.4"/>
  <pageSetup paperSize="9"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Planas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Dovilė Jozonienė</dc:creator>
  <cp:lastModifiedBy>Rasa Macienė</cp:lastModifiedBy>
  <cp:lastPrinted>2023-03-29T05:19:09Z</cp:lastPrinted>
  <dcterms:created xsi:type="dcterms:W3CDTF">2023-01-26T11:34:18Z</dcterms:created>
  <dcterms:modified xsi:type="dcterms:W3CDTF">2023-05-09T12:39:26Z</dcterms:modified>
</cp:coreProperties>
</file>